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0.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1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12.xml" ContentType="application/vnd.openxmlformats-officedocument.drawing+xml"/>
  <Override PartName="/xl/tables/table15.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5.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16.xml" ContentType="application/vnd.openxmlformats-officedocument.drawing+xml"/>
  <Override PartName="/xl/tables/table20.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20.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AC0134\OneDrive - Agriculture\Desktop\Work\Delete\"/>
    </mc:Choice>
  </mc:AlternateContent>
  <xr:revisionPtr revIDLastSave="0" documentId="13_ncr:1_{DEF2339D-B440-4F2F-98F6-A2D311A063A9}" xr6:coauthVersionLast="47" xr6:coauthVersionMax="47" xr10:uidLastSave="{00000000-0000-0000-0000-000000000000}"/>
  <workbookProtection workbookAlgorithmName="SHA-512" workbookHashValue="LGe2dlycNN1nIxRVQ7gXdhewFTwWYukA2Z8bs1MkQmWq4wtFiLe+4rvmtmNVFwHToDvZT3ZYCt8NWidR59PamQ==" workbookSaltValue="XSWOHPGrMtCSb4X2pmZH3Q==" workbookSpinCount="100000" lockStructure="1"/>
  <bookViews>
    <workbookView xWindow="-110" yWindow="-110" windowWidth="19420" windowHeight="10300" tabRatio="758" xr2:uid="{D435EB59-A707-488B-84DC-A2B991169A14}"/>
  </bookViews>
  <sheets>
    <sheet name="Welcome" sheetId="2" r:id="rId1"/>
    <sheet name="Facility Details" sheetId="31" r:id="rId2"/>
    <sheet name="Electricity Usage" sheetId="34" r:id="rId3"/>
    <sheet name="Electrolysis" sheetId="20" r:id="rId4"/>
    <sheet name="Natural Gas Reforming" sheetId="21" r:id="rId5"/>
    <sheet name="Coal Gasification" sheetId="22" r:id="rId6"/>
    <sheet name="Transport &amp; Storage - Hydrogen" sheetId="49" r:id="rId7"/>
    <sheet name="Production Summary" sheetId="42" r:id="rId8"/>
    <sheet name="Ammonia Production" sheetId="32" state="hidden" r:id="rId9"/>
    <sheet name="Hydrogen Liquefaction" sheetId="38" state="hidden" r:id="rId10"/>
    <sheet name="LOHC - Hydrogenation" sheetId="39" state="hidden" r:id="rId11"/>
    <sheet name="Transport - Conditioning" sheetId="50" state="hidden" r:id="rId12"/>
    <sheet name="Conditioning Summary" sheetId="43" state="hidden" r:id="rId13"/>
    <sheet name="Ammonia Cracking" sheetId="40" state="hidden" r:id="rId14"/>
    <sheet name="LOHC - Dehydrogenation" sheetId="41" state="hidden" r:id="rId15"/>
    <sheet name="Transport - Downstream" sheetId="51" state="hidden" r:id="rId16"/>
    <sheet name="Downstream Summary" sheetId="44" state="hidden" r:id="rId17"/>
    <sheet name="Certificate" sheetId="47" r:id="rId18"/>
    <sheet name="Hidden Lists and Summaries" sheetId="52" state="hidden" r:id="rId19"/>
    <sheet name="Name Plate Certificate" sheetId="45" state="hidden" r:id="rId20"/>
    <sheet name="Key Values" sheetId="3" r:id="rId21"/>
  </sheets>
  <definedNames>
    <definedName name="ACT_Jurisdictional_Renewables_Constant">'Key Values'!$C$151</definedName>
    <definedName name="amm_annual_capacity">'Ammonia Production'!$E$12</definedName>
    <definedName name="amm_annual_capacity_tonnes">'Ammonia Production'!$Y$14</definedName>
    <definedName name="amm_integrated_facility">'Ammonia Production'!$E$13</definedName>
    <definedName name="amm_netEmissionsIntensity">'Ammonia Production'!$H$188</definedName>
    <definedName name="amm_overall_net_EI">'Ammonia Production'!$H$198</definedName>
    <definedName name="amm_product_delivered_kg">'Ammonia Production'!$H$194</definedName>
    <definedName name="amm_quantityProduced_tonnes">'Ammonia Production'!$Y$23</definedName>
    <definedName name="ammCrack_annualCapacity_tonnes">'Ammonia Cracking'!$Y$14</definedName>
    <definedName name="ammCrack_NetEmissionsIntensity">'Ammonia Cracking'!$H$202</definedName>
    <definedName name="ammCrack_overall_net_EI">'Ammonia Cracking'!$H$212</definedName>
    <definedName name="ammCrack_quantity_delivered_kg">'Ammonia Cracking'!$H$208</definedName>
    <definedName name="ammCrack_quantityProduced_tonnes">'Ammonia Cracking'!$Y$22</definedName>
    <definedName name="ammCrackReportingItems">'Ammonia Cracking'!$F$182:$I$269</definedName>
    <definedName name="AmmoniaReportingItems">'Ammonia Production'!$F$164:$I$253</definedName>
    <definedName name="Certificate_EmbodiedBreakdownCategories">_xlfn.ANCHORARRAY(Certificate!$U$25)</definedName>
    <definedName name="Certificate_EmbodiedBreakdownValues">_xlfn.ANCHORARRAY(Certificate!$V$25)</definedName>
    <definedName name="Certificate_EmbodiedEmissionsCategories">_xlfn.ANCHORARRAY(Certificate!$U$25)</definedName>
    <definedName name="conditioning_storage_emissions">'Transport - Conditioning'!$H$119</definedName>
    <definedName name="conditioning_transport_and_storage_losses">'Transport - Conditioning'!$H$124</definedName>
    <definedName name="conditioning_transport_emissions">'Transport - Conditioning'!$H$115</definedName>
    <definedName name="downstream_storage_emissions">'Transport - Downstream'!$H$119</definedName>
    <definedName name="downstream_transport_and_storage_losses">'Transport - Downstream'!$H$123</definedName>
    <definedName name="downstream_transport_emissions">'Transport - Downstream'!$H$115</definedName>
    <definedName name="electrolysis_annual_capacity">Electrolysis!$E$15</definedName>
    <definedName name="electrolysis_annual_capcaity_tonnes">Electrolysis!$Y$15</definedName>
    <definedName name="electrolysis_BD">Electrolysis!$C$218:$D$218</definedName>
    <definedName name="electrolysis_electricity">Electrolysis!$C$224:$D$237</definedName>
    <definedName name="electrolysis_FD">Electrolysis!$C$199:$D$202</definedName>
    <definedName name="electrolysis_fuel">Electrolysis!$C$257:$D$268</definedName>
    <definedName name="electrolysis_gridElecPortion">Electrolysis!$AA$52</definedName>
    <definedName name="electrolysis_gridElectricityUsed">Electrolysis!$Z$52</definedName>
    <definedName name="electrolysis_hydrogenProductionQuantity">Electrolysis!$Y$22</definedName>
    <definedName name="electrolysis_ImportedWaterFeedType">Electrolysis!$G$290</definedName>
    <definedName name="electrolysis_netEmissionsIntensity">Electrolysis!$H$187</definedName>
    <definedName name="electrolysis_onsiteCombustionElecPortion">Electrolysis!$AA$53</definedName>
    <definedName name="electrolysis_OU">Electrolysis!$C$243:$D$251</definedName>
    <definedName name="electrolysis_overall_net_EI">Electrolysis!$H$197</definedName>
    <definedName name="electrolysis_process">Electrolysis!$C$274:$G$276</definedName>
    <definedName name="electrolysis_quantity_delivered_kg">Electrolysis!$H$195</definedName>
    <definedName name="electrolysis_quantityImportedWaterFeed">Electrolysis!$H$290</definedName>
    <definedName name="electrolysis_quantityRawWaterFeed">Electrolysis!$H$291</definedName>
    <definedName name="electrolysis_RawWaterFeedType">Electrolysis!$G$291</definedName>
    <definedName name="electrolysis_waste">Electrolysis!$C$313:$G$327</definedName>
    <definedName name="ElectrolysisReportingItems">Electrolysis!$F$163:$I$291</definedName>
    <definedName name="eletrolysis_annual_capacity">Electrolysis!$E$15</definedName>
    <definedName name="Energy_Units_Options" localSheetId="13">EnergyConversionTable[Energy Units]</definedName>
    <definedName name="Energy_Units_Options" localSheetId="9">EnergyConversionTable[Energy Units]</definedName>
    <definedName name="Energy_Units_Options" localSheetId="14">EnergyConversionTable[Energy Units]</definedName>
    <definedName name="Energy_Units_Options" localSheetId="10">EnergyConversionTable[Energy Units]</definedName>
    <definedName name="Energy_Units_Options" localSheetId="7">EnergyConversionTable[Energy Units]</definedName>
    <definedName name="Energy_Units_Options" localSheetId="11">EnergyConversionTable[Energy Units]</definedName>
    <definedName name="Energy_Units_Options" localSheetId="15">EnergyConversionTable[Energy Units]</definedName>
    <definedName name="Energy_Units_Options" localSheetId="6">EnergyConversionTable[Energy Units]</definedName>
    <definedName name="Energy_Units_Options">EnergyConversionTable[Energy Units]</definedName>
    <definedName name="Fuel_Consumption_Measurement_Type_List" localSheetId="11">TransportFuelConsumptionMeasurementTypes[Fuel Consumption Measurement Types]</definedName>
    <definedName name="Fuel_Consumption_Measurement_Type_List" localSheetId="15">TransportFuelConsumptionMeasurementTypes[Fuel Consumption Measurement Types]</definedName>
    <definedName name="Fuel_Consumption_Measurement_Type_List">TransportFuelConsumptionMeasurementTypes[Fuel Consumption Measurement Types]</definedName>
    <definedName name="gasification_annual_capacity">'Coal Gasification'!$E$17</definedName>
    <definedName name="gasification_annual_capacity_tonnes">'Coal Gasification'!$Y$17</definedName>
    <definedName name="gasification_BD">'Coal Gasification'!$C$290:$D$292</definedName>
    <definedName name="gasification_CCS">'Coal Gasification'!$C$379:$G$386</definedName>
    <definedName name="gasification_FD">'Coal Gasification'!$C$270:$D$272</definedName>
    <definedName name="gasification_feedstock">'Coal Gasification'!$C$368:$G$373</definedName>
    <definedName name="gasification_fuel">'Coal Gasification'!$C$331:$D$342</definedName>
    <definedName name="gasification_hydrogenProductionQuantity">'Coal Gasification'!$Y$24</definedName>
    <definedName name="gasification_netEmissionsIntensity">'Coal Gasification'!$H$257</definedName>
    <definedName name="gasification_OU">'Coal Gasification'!$C$317:$D$325</definedName>
    <definedName name="gasification_overall_net_EI">'Coal Gasification'!$H$267</definedName>
    <definedName name="gasification_process">'Coal Gasification'!$C$351:$G$362</definedName>
    <definedName name="gasification_quantity_delivered_kg">'Coal Gasification'!$H$263</definedName>
    <definedName name="gasification_waste">'Coal Gasification'!$C$392:$G$416</definedName>
    <definedName name="GasificationReportingItems">'Coal Gasification'!$F$233:$I$358</definedName>
    <definedName name="heavy_vehicle_design_standards_options" localSheetId="11">Heavy_vehicle_design_standards_table[Heavy Vehicle Design Standard Options]</definedName>
    <definedName name="heavy_vehicle_design_standards_options" localSheetId="15">Heavy_vehicle_design_standards_table[Heavy Vehicle Design Standard Options]</definedName>
    <definedName name="heavy_vehicle_design_standards_options">Heavy_vehicle_design_standards_table[Heavy Vehicle Design Standard Options]</definedName>
    <definedName name="Hydrogen_Conditioning_Process_Options" localSheetId="13">Table40[Hydrogen Conditioning Process]</definedName>
    <definedName name="Hydrogen_Conditioning_Process_Options" localSheetId="2">Table40[Hydrogen Conditioning Process]</definedName>
    <definedName name="Hydrogen_Conditioning_Process_Options" localSheetId="9">Table40[Hydrogen Conditioning Process]</definedName>
    <definedName name="Hydrogen_Conditioning_Process_Options" localSheetId="14">Table40[Hydrogen Conditioning Process]</definedName>
    <definedName name="Hydrogen_Conditioning_Process_Options" localSheetId="10">Table40[Hydrogen Conditioning Process]</definedName>
    <definedName name="Hydrogen_Conditioning_Process_Options" localSheetId="7">Table40[Hydrogen Conditioning Process]</definedName>
    <definedName name="Hydrogen_Conditioning_Process_Options" localSheetId="11">Table40[Hydrogen Conditioning Process]</definedName>
    <definedName name="Hydrogen_Conditioning_Process_Options" localSheetId="15">Table40[Hydrogen Conditioning Process]</definedName>
    <definedName name="Hydrogen_Conditioning_Process_Options" localSheetId="6">Table40[Hydrogen Conditioning Process]</definedName>
    <definedName name="Hydrogen_Conditioning_Process_Options">Table40[Hydrogen Conditioning Process]</definedName>
    <definedName name="Hydrogen_Production_Pathway_Options" localSheetId="13">Table34[Pathway Category]</definedName>
    <definedName name="Hydrogen_Production_Pathway_Options" localSheetId="2">Table34[Pathway Category]</definedName>
    <definedName name="Hydrogen_Production_Pathway_Options" localSheetId="9">Table34[Pathway Category]</definedName>
    <definedName name="Hydrogen_Production_Pathway_Options" localSheetId="14">Table34[Pathway Category]</definedName>
    <definedName name="Hydrogen_Production_Pathway_Options" localSheetId="10">Table34[Pathway Category]</definedName>
    <definedName name="Hydrogen_Production_Pathway_Options" localSheetId="7">Table34[Pathway Category]</definedName>
    <definedName name="Hydrogen_Production_Pathway_Options" localSheetId="11">Table34[Pathway Category]</definedName>
    <definedName name="Hydrogen_Production_Pathway_Options" localSheetId="15">Table34[Pathway Category]</definedName>
    <definedName name="Hydrogen_Production_Pathway_Options" localSheetId="6">Table34[Pathway Category]</definedName>
    <definedName name="Hydrogen_Production_Pathway_Options">Table34[Pathway Category]</definedName>
    <definedName name="i_facilityLocation" localSheetId="1">'Facility Details'!$E$9</definedName>
    <definedName name="i_facilityLocation" localSheetId="11">'Transport - Conditioning'!$E$9</definedName>
    <definedName name="i_facilityLocation" localSheetId="15">'Transport - Downstream'!$E$9</definedName>
    <definedName name="i_facilityLocation" localSheetId="6">'Transport &amp; Storage - Hydrogen'!$E$9</definedName>
    <definedName name="i_facilityMetro" localSheetId="1">'Facility Details'!$E$10</definedName>
    <definedName name="i_facilityMetro" localSheetId="11">'Transport - Conditioning'!$E$10</definedName>
    <definedName name="i_facilityMetro" localSheetId="15">'Transport - Downstream'!$E$10</definedName>
    <definedName name="i_facilityMetro" localSheetId="6">'Transport &amp; Storage - Hydrogen'!$E$10</definedName>
    <definedName name="iq_batchBegins">'Facility Details'!$E$19</definedName>
    <definedName name="iq_batchBegTime">'Facility Details'!$E$20</definedName>
    <definedName name="iq_batchDurationDays">'Facility Details'!$Y$19</definedName>
    <definedName name="iq_batchDurationYears">'Facility Details'!$Y$20</definedName>
    <definedName name="iq_batchEnd">'Facility Details'!$E$22</definedName>
    <definedName name="iq_batchEndTime">'Facility Details'!$E$23</definedName>
    <definedName name="iq_ccsACCUsGenerated">'Facility Details'!$E$46</definedName>
    <definedName name="iq_ccsIsACCUsGenerated">'Facility Details'!$E$45</definedName>
    <definedName name="iq_ccsLocation">'Facility Details'!$E$43</definedName>
    <definedName name="iq_ccsMonitoringTech">'Facility Details'!$E$41</definedName>
    <definedName name="iq_ccsPeakCaptureRate">'Facility Details'!$E$47</definedName>
    <definedName name="iq_ccsStorage">'Facility Details'!$E$42</definedName>
    <definedName name="iq_ccsTransport">'Facility Details'!$E$44</definedName>
    <definedName name="iq_commencement">'Facility Details'!$E$11</definedName>
    <definedName name="iq_conditioningIncluded">'Facility Details'!$Z$30</definedName>
    <definedName name="iq_conditioningProcess">'Facility Details'!$E$32</definedName>
    <definedName name="iq_downStreamIncluded">'Facility Details'!$AA$30</definedName>
    <definedName name="iq_downstreamProcess">'Facility Details'!$E$33</definedName>
    <definedName name="iq_facilityMetro">'Facility Details'!$E$10</definedName>
    <definedName name="iq_location">'Facility Details'!$E$9</definedName>
    <definedName name="iq_metro">'Facility Details'!$E$10</definedName>
    <definedName name="iq_name">'Facility Details'!$E$8</definedName>
    <definedName name="iq_primaryProduct">'Facility Details'!$E$30</definedName>
    <definedName name="iq_primaryProductionIncluded">'Facility Details'!$Y$30</definedName>
    <definedName name="iq_selectedPathway">'Facility Details'!$E$12</definedName>
    <definedName name="iq_totalOffsets">Electrolysis!$Y$154</definedName>
    <definedName name="liqHyd_netEmissionsIntensity">'Hydrogen Liquefaction'!$H$189</definedName>
    <definedName name="liqHyd_overall_net_EI">'Hydrogen Liquefaction'!$H$199</definedName>
    <definedName name="liqHyd_quantity_delivered_kg">'Hydrogen Liquefaction'!$H$195</definedName>
    <definedName name="liqHydrogen_capacity_tonnes">'Hydrogen Liquefaction'!$Y$14</definedName>
    <definedName name="liqHydrogen_integratedFacility">'Hydrogen Liquefaction'!$E$13</definedName>
    <definedName name="liqHydrogen_quantityProduced_tonnes">'Hydrogen Liquefaction'!$Y$23</definedName>
    <definedName name="LiquefactionReportingItems">'Hydrogen Liquefaction'!$F$165:$I$254</definedName>
    <definedName name="Load_Distance_Measure_Type_List" localSheetId="11">TransportLoadDistanceMeasurementTypes[Load Distance Measurement Types]</definedName>
    <definedName name="Load_Distance_Measure_Type_List" localSheetId="15">TransportLoadDistanceMeasurementTypes[Load Distance Measurement Types]</definedName>
    <definedName name="Load_Distance_Measure_Type_List">TransportLoadDistanceMeasurementTypes[Load Distance Measurement Types]</definedName>
    <definedName name="LOHC_feedstockOptions" localSheetId="13">Table42[LOHC Feedstock]</definedName>
    <definedName name="LOHC_feedstockOptions" localSheetId="14">Table42[LOHC Feedstock]</definedName>
    <definedName name="LOHC_feedstockOptions" localSheetId="7">Table42[LOHC Feedstock]</definedName>
    <definedName name="LOHC_feedstockOptions" localSheetId="11">Table42[LOHC Feedstock]</definedName>
    <definedName name="LOHC_feedstockOptions" localSheetId="15">Table42[LOHC Feedstock]</definedName>
    <definedName name="LOHC_feedstockOptions" localSheetId="6">Table42[LOHC Feedstock]</definedName>
    <definedName name="LOHC_feedstockOptions">Table42[LOHC Feedstock]</definedName>
    <definedName name="LOHC_pathwayOptions" localSheetId="13">Table43[LOHC Pathways]</definedName>
    <definedName name="LOHC_pathwayOptions" localSheetId="14">Table43[LOHC Pathways]</definedName>
    <definedName name="LOHC_pathwayOptions" localSheetId="7">Table43[LOHC Pathways]</definedName>
    <definedName name="LOHC_pathwayOptions" localSheetId="11">Table43[LOHC Pathways]</definedName>
    <definedName name="LOHC_pathwayOptions" localSheetId="15">Table43[LOHC Pathways]</definedName>
    <definedName name="LOHC_pathwayOptions" localSheetId="6">Table43[LOHC Pathways]</definedName>
    <definedName name="LOHC_pathwayOptions">Table43[LOHC Pathways]</definedName>
    <definedName name="lohcDehyd_annualCapacity_tonnes">'LOHC - Dehydrogenation'!$Y$15</definedName>
    <definedName name="lohcDehyd_netEmissionsIntensity">'LOHC - Dehydrogenation'!$H$205</definedName>
    <definedName name="lohcDehyd_overall_net_EI">'LOHC - Dehydrogenation'!$H$215</definedName>
    <definedName name="lohcDehyd_pathway">'LOHC - Dehydrogenation'!$AC$15</definedName>
    <definedName name="lohcDehyd_quantity_delivered_kg">'LOHC - Dehydrogenation'!$H$211</definedName>
    <definedName name="lohcDehyd_quantityProduced_tonnes">'LOHC - Dehydrogenation'!$Y$23</definedName>
    <definedName name="lohcDehydroReportingItems">'LOHC - Dehydrogenation'!$F$184:$I$272</definedName>
    <definedName name="lohcProd_annualCapacity_tonnes">'LOHC - Hydrogenation'!$Y$15</definedName>
    <definedName name="lohcProd_integratedFacility">'LOHC - Hydrogenation'!$E$14</definedName>
    <definedName name="lohcProd_netEmissionsIntensity">'LOHC - Hydrogenation'!$H$202</definedName>
    <definedName name="lohcProd_overall_net_EI">'LOHC - Hydrogenation'!$H$212</definedName>
    <definedName name="lohcProd_pathway">'LOHC - Hydrogenation'!$E$13</definedName>
    <definedName name="lohcProd_quantity_delivered_kg">'LOHC - Hydrogenation'!$H$208</definedName>
    <definedName name="lohcProd_quantityProduced_tonnes">'LOHC - Hydrogenation'!$Y$24</definedName>
    <definedName name="lohcProdReportingItems">'LOHC - Hydrogenation'!$E$178:$I$269</definedName>
    <definedName name="Loss_Correction_Method_Options_List" localSheetId="11">Table76[Loss Correction Methods]</definedName>
    <definedName name="Loss_Correction_Method_Options_List" localSheetId="15">Table76[Loss Correction Methods]</definedName>
    <definedName name="Loss_Correction_Method_Options_List">Table76[Loss Correction Methods]</definedName>
    <definedName name="Mass_Units_Options" localSheetId="13">massConv[Mass Units]</definedName>
    <definedName name="Mass_Units_Options" localSheetId="9">massConv[Mass Units]</definedName>
    <definedName name="Mass_Units_Options" localSheetId="14">massConv[Mass Units]</definedName>
    <definedName name="Mass_Units_Options" localSheetId="10">massConv[Mass Units]</definedName>
    <definedName name="Mass_Units_Options" localSheetId="7">massConv[Mass Units]</definedName>
    <definedName name="Mass_Units_Options" localSheetId="11">massConv[Mass Units]</definedName>
    <definedName name="Mass_Units_Options" localSheetId="15">massConv[Mass Units]</definedName>
    <definedName name="Mass_Units_Options" localSheetId="6">massConv[Mass Units]</definedName>
    <definedName name="Mass_Units_Options">massConv[Mass Units]</definedName>
    <definedName name="number_of_days_in_annual_rates">'Hidden Lists and Summaries'!$B$164</definedName>
    <definedName name="overall_CHP_EmissionsElectricity">'Electricity Usage'!$T$61</definedName>
    <definedName name="overall_CHP_EmissionsSteam">'Electricity Usage'!$T$62</definedName>
    <definedName name="overall_CHPFuelElecAllocation">'Electricity Usage'!$W$83</definedName>
    <definedName name="overall_CHPFuelSteamAllocation">'Electricity Usage'!$W$82</definedName>
    <definedName name="overall_CHPSteamGenerated">'Electricity Usage'!$X$61</definedName>
    <definedName name="overall_CombustionEmissionsOther">'Electricity Usage'!$T$64</definedName>
    <definedName name="overall_embodiedCHPElectricity">'Electricity Usage'!$T$65</definedName>
    <definedName name="overall_embodiedCHPSteam">'Electricity Usage'!$T$66</definedName>
    <definedName name="overall_embodiedOtherCombustionElectricityGen">'Electricity Usage'!$T$67</definedName>
    <definedName name="overall_ImportEmissions">'Electricity Usage'!$T$63</definedName>
    <definedName name="overall_locationBasedImportEmissions">'Electricity Usage'!$T$68</definedName>
    <definedName name="overall_LocationEF">'Electricity Usage'!$T$83</definedName>
    <definedName name="overall_MarketEF">'Electricity Usage'!$T$84</definedName>
    <definedName name="overall_onsiteCHPElecGen">'Electricity Usage'!$V$61</definedName>
    <definedName name="overall_onsiteElecGenRenewables">'Electricity Usage'!$V$65</definedName>
    <definedName name="overall_onsiteGenEF">'Electricity Usage'!$T$85</definedName>
    <definedName name="overall_onsiteOtherCombustionElecGen">'Electricity Usage'!$V$62</definedName>
    <definedName name="overall_otherOnsiteElecGenViaCombustionFuelAmount">'Electricity Usage'!$D$84</definedName>
    <definedName name="Overall_Renewables">'Electricity Usage'!$V$70</definedName>
    <definedName name="overall_residualElectricity">'Electricity Usage'!$X$22</definedName>
    <definedName name="overall_totalCHPFuel">'Electricity Usage'!$D$80</definedName>
    <definedName name="overall_totalElectricity">'Electricity Usage'!$V$69</definedName>
    <definedName name="overall_totalImportedElectricity">'Electricity Usage'!$V$22</definedName>
    <definedName name="overall_totalOnsiteCombustionElecGen">'Electricity Usage'!$V$63</definedName>
    <definedName name="overall_totalOnsiteElecGen">'Electricity Usage'!$V$66</definedName>
    <definedName name="overall_verifiedRenewableElectricityImported">'Electricity Usage'!$W$22</definedName>
    <definedName name="PostproductionBreakdownCategories">_xlfn.ANCHORARRAY(Certificate!$AJ$25)</definedName>
    <definedName name="PostproductionBreakdownValues">_xlfn.ANCHORARRAY(Certificate!$AK$25)</definedName>
    <definedName name="Primary_Product_Options" localSheetId="13">Primary_Product_Table[Primary Product Options]</definedName>
    <definedName name="Primary_Product_Options" localSheetId="2">Primary_Product_Table[Primary Product Options]</definedName>
    <definedName name="Primary_Product_Options" localSheetId="9">Primary_Product_Table[Primary Product Options]</definedName>
    <definedName name="Primary_Product_Options" localSheetId="14">Primary_Product_Table[Primary Product Options]</definedName>
    <definedName name="Primary_Product_Options" localSheetId="10">Primary_Product_Table[Primary Product Options]</definedName>
    <definedName name="Primary_Product_Options" localSheetId="7">Primary_Product_Table[Primary Product Options]</definedName>
    <definedName name="Primary_Product_Options" localSheetId="11">Primary_Product_Table[Primary Product Options]</definedName>
    <definedName name="Primary_Product_Options" localSheetId="15">Primary_Product_Table[Primary Product Options]</definedName>
    <definedName name="Primary_Product_Options" localSheetId="6">Primary_Product_Table[Primary Product Options]</definedName>
    <definedName name="Primary_Product_Options">Primary_Product_Table[Primary Product Options]</definedName>
    <definedName name="_xlnm.Print_Area" localSheetId="7">'Production Summary'!$B$2:$G$176</definedName>
    <definedName name="ProcessBreakdownCategories">_xlfn.ANCHORARRAY(Certificate!$Z$25)</definedName>
    <definedName name="ProcessBreakdownValues">_xlfn.ANCHORARRAY(Certificate!$AA$25)</definedName>
    <definedName name="production_storage_emissions">'Transport &amp; Storage - Hydrogen'!$H$120</definedName>
    <definedName name="production_transport_and_storage_co_allocation">'Transport &amp; Storage - Hydrogen'!$H$115</definedName>
    <definedName name="production_transport_and_storage_losses">'Transport &amp; Storage - Hydrogen'!$H$124</definedName>
    <definedName name="production_transport_emissions">'Transport &amp; Storage - Hydrogen'!$H$116</definedName>
    <definedName name="ReductionsBreakdownCategories">_xlfn.ANCHORARRAY(Certificate!$AE$25)</definedName>
    <definedName name="ReductionsBreakdownValues">_xlfn.ANCHORARRAY(Certificate!$AF$25)</definedName>
    <definedName name="reforming_annual_capacity">'Natural Gas Reforming'!$E$17</definedName>
    <definedName name="reforming_annual_capacity_tonnes">'Natural Gas Reforming'!$Y$17</definedName>
    <definedName name="reforming_BD">'Natural Gas Reforming'!$C$252:$D$254</definedName>
    <definedName name="reforming_CCS">'Natural Gas Reforming'!$C$341:$G$348</definedName>
    <definedName name="reforming_FD">'Natural Gas Reforming'!$C$231:$D$234</definedName>
    <definedName name="reforming_feedstock">'Natural Gas Reforming'!$C$332:$G$334</definedName>
    <definedName name="reforming_fuel">'Natural Gas Reforming'!$C$293:$D$304</definedName>
    <definedName name="reforming_gridElectricityUsed">'Natural Gas Reforming'!$Z$54</definedName>
    <definedName name="reforming_hydrogenProductionQuantity">'Natural Gas Reforming'!$Y$24</definedName>
    <definedName name="reforming_netEmissionsIntensity">'Natural Gas Reforming'!$H$217</definedName>
    <definedName name="reforming_OU">'Natural Gas Reforming'!$C$279:$D$287</definedName>
    <definedName name="reforming_overall_net_EI">'Natural Gas Reforming'!$H$228</definedName>
    <definedName name="reforming_process">'Natural Gas Reforming'!$C$314:$G$326</definedName>
    <definedName name="reforming_quantity_delivered_kg">'Natural Gas Reforming'!$H$224</definedName>
    <definedName name="reforming_waste">'Natural Gas Reforming'!$C$354:$G$358</definedName>
    <definedName name="ReformingReportingItems">'Natural Gas Reforming'!$F$194:$I$322</definedName>
    <definedName name="ReportingItems_AmmoniaConversion">'Ammonia Production'!$E$164:$I$253</definedName>
    <definedName name="RPP">'Key Values'!$C$148</definedName>
    <definedName name="Steam_Properties_Options" localSheetId="11">SteamProperties[Steam Properties]</definedName>
    <definedName name="Steam_Properties_Options" localSheetId="15">SteamProperties[Steam Properties]</definedName>
    <definedName name="Steam_Properties_Options">SteamProperties[Steam Properties]</definedName>
    <definedName name="total_embodiedEmissionsCombustionBasedElectricity">'Electricity Usage'!$T$70</definedName>
    <definedName name="total_emissionsCombustionBasedElectricity">'Electricity Usage'!$T$69</definedName>
    <definedName name="Transport_Emissions_Estimation_Methods_List" localSheetId="11">TransportEmissionEstimateMethods[Emissions Estimation Method]</definedName>
    <definedName name="Transport_Emissions_Estimation_Methods_List" localSheetId="15">TransportEmissionEstimateMethods[Emissions Estimation Method]</definedName>
    <definedName name="Transport_Emissions_Estimation_Methods_List">TransportEmissionEstimateMethods[Emissions Estimation Method]</definedName>
    <definedName name="Transport_fuel_options_list" localSheetId="11">TransportFuelsTable[Transport Fuel Options]</definedName>
    <definedName name="Transport_fuel_options_list" localSheetId="15">TransportFuelsTable[Transport Fuel Options]</definedName>
    <definedName name="Transport_fuel_options_list">TransportFuelsTable[Transport Fuel Options]</definedName>
    <definedName name="Transport_Route_Types_List" localSheetId="11">Table75[Transport Route Types]</definedName>
    <definedName name="Transport_Route_Types_List" localSheetId="15">Table75[Transport Route Types]</definedName>
    <definedName name="Transport_Route_Types_List">Table75[Transport Route Types]</definedName>
    <definedName name="Transport_Vehicle_Types_List" localSheetId="11">Table48[Road and Maritime Transport Types]</definedName>
    <definedName name="Transport_Vehicle_Types_List" localSheetId="15">Table48[Road and Maritime Transport Types]</definedName>
    <definedName name="Transport_Vehicle_Types_List">Table48[Road and Maritime Transport Types]</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4" i="49" l="1"/>
  <c r="W40" i="49"/>
  <c r="W39" i="49"/>
  <c r="T38" i="49" a="1"/>
  <c r="T38" i="49" s="1"/>
  <c r="W38" i="49" s="1"/>
  <c r="Y8" i="49"/>
  <c r="Y9" i="49"/>
  <c r="Y10" i="49"/>
  <c r="Y11" i="49"/>
  <c r="E305" i="20"/>
  <c r="E336" i="21"/>
  <c r="E372" i="22"/>
  <c r="AK141" i="22"/>
  <c r="AK131" i="21"/>
  <c r="Z57" i="49" l="1"/>
  <c r="Z56" i="49"/>
  <c r="AA41" i="49"/>
  <c r="AA40" i="49"/>
  <c r="AA39" i="49"/>
  <c r="AA38" i="49"/>
  <c r="U41" i="49" a="1"/>
  <c r="U41" i="49" s="1"/>
  <c r="U40" i="49" a="1"/>
  <c r="U40" i="49" s="1"/>
  <c r="U39" i="49" a="1"/>
  <c r="U39" i="49" s="1"/>
  <c r="U38" i="49" a="1"/>
  <c r="U38" i="49" s="1"/>
  <c r="U49" i="49"/>
  <c r="T49" i="49"/>
  <c r="V49" i="49" s="1"/>
  <c r="P49" i="49" s="1"/>
  <c r="Y57" i="49" s="1"/>
  <c r="U48" i="49"/>
  <c r="T48" i="49"/>
  <c r="V48" i="49" l="1"/>
  <c r="P48" i="49" s="1"/>
  <c r="P50" i="49" s="1"/>
  <c r="T8" i="49" l="1"/>
  <c r="Y129" i="22"/>
  <c r="S23" i="34"/>
  <c r="S22" i="34"/>
  <c r="O99" i="22" l="1"/>
  <c r="N99" i="22"/>
  <c r="O98" i="22"/>
  <c r="N98" i="22"/>
  <c r="O97" i="22"/>
  <c r="N97" i="22"/>
  <c r="O96" i="22"/>
  <c r="N96" i="22"/>
  <c r="O95" i="22"/>
  <c r="N95" i="22"/>
  <c r="AC43" i="22"/>
  <c r="N98" i="21"/>
  <c r="O98" i="21"/>
  <c r="N99" i="21"/>
  <c r="O99" i="21"/>
  <c r="N100" i="21"/>
  <c r="O100" i="21"/>
  <c r="AC44" i="21"/>
  <c r="AC41" i="20"/>
  <c r="Z88" i="20"/>
  <c r="AA88" i="20" s="1" a="1"/>
  <c r="AA88" i="20" s="1"/>
  <c r="Z89" i="20"/>
  <c r="AA89" i="20" s="1" a="1"/>
  <c r="AA89" i="20" s="1"/>
  <c r="Z90" i="20"/>
  <c r="AA90" i="20" s="1" a="1"/>
  <c r="AA90" i="20" s="1"/>
  <c r="Z91" i="20"/>
  <c r="AA91" i="20" s="1" a="1"/>
  <c r="AA91" i="20" s="1"/>
  <c r="N91" i="20"/>
  <c r="O91" i="20"/>
  <c r="O87" i="20"/>
  <c r="N87" i="20"/>
  <c r="Z87" i="20"/>
  <c r="AA87" i="20" s="1" a="1"/>
  <c r="AA87" i="20" s="1"/>
  <c r="AC87" i="20" a="1"/>
  <c r="AC87" i="20" s="1"/>
  <c r="AC90" i="20" a="1"/>
  <c r="AC90" i="20" s="1"/>
  <c r="Y68" i="20"/>
  <c r="AC42" i="20"/>
  <c r="AB41" i="20"/>
  <c r="AB32" i="20"/>
  <c r="AE32" i="20"/>
  <c r="N88" i="20" l="1"/>
  <c r="O88" i="20"/>
  <c r="O89" i="20"/>
  <c r="N89" i="20"/>
  <c r="N90" i="20"/>
  <c r="O90" i="20"/>
  <c r="I51" i="34"/>
  <c r="U13" i="34"/>
  <c r="Y137" i="21"/>
  <c r="G229" i="20"/>
  <c r="H212" i="20"/>
  <c r="AE71" i="22"/>
  <c r="AE70" i="22"/>
  <c r="AE69" i="22"/>
  <c r="AE72" i="21"/>
  <c r="AE71" i="21"/>
  <c r="AE70" i="21"/>
  <c r="AE70" i="20"/>
  <c r="AE69" i="20"/>
  <c r="AE68" i="20"/>
  <c r="Y32" i="20"/>
  <c r="G225" i="20"/>
  <c r="U31" i="49" l="1"/>
  <c r="U30" i="49"/>
  <c r="U29" i="49"/>
  <c r="U28" i="49"/>
  <c r="G256" i="21"/>
  <c r="G266" i="21"/>
  <c r="G265" i="21"/>
  <c r="V18" i="49" a="1"/>
  <c r="V18" i="49" s="1"/>
  <c r="G224" i="20"/>
  <c r="Y36" i="22"/>
  <c r="Y35" i="22"/>
  <c r="Y34" i="22"/>
  <c r="Y35" i="21"/>
  <c r="Y36" i="21"/>
  <c r="Y34" i="21"/>
  <c r="AC32" i="20" a="1"/>
  <c r="AC32" i="20" s="1"/>
  <c r="Z32" i="20"/>
  <c r="AA32" i="20" s="1"/>
  <c r="Y34" i="20"/>
  <c r="Y33" i="20"/>
  <c r="X75" i="51" a="1"/>
  <c r="X75" i="51" s="1"/>
  <c r="X74" i="51" a="1"/>
  <c r="X74" i="51" s="1"/>
  <c r="X67" i="51" a="1"/>
  <c r="X67" i="51" s="1"/>
  <c r="X66" i="51" a="1"/>
  <c r="X66" i="51" s="1"/>
  <c r="X65" i="51" a="1"/>
  <c r="X65" i="51" s="1"/>
  <c r="X64" i="51" a="1"/>
  <c r="X64" i="51" s="1"/>
  <c r="X67" i="50" a="1"/>
  <c r="X67" i="50" s="1"/>
  <c r="X66" i="50" a="1"/>
  <c r="X66" i="50" s="1"/>
  <c r="X65" i="50" a="1"/>
  <c r="X65" i="50" s="1"/>
  <c r="X64" i="50" a="1"/>
  <c r="X64" i="50" s="1"/>
  <c r="X75" i="50" a="1"/>
  <c r="X75" i="50" s="1"/>
  <c r="X74" i="50" a="1"/>
  <c r="X74" i="50" s="1"/>
  <c r="U8" i="50" a="1"/>
  <c r="U8" i="50" s="1"/>
  <c r="T9" i="50"/>
  <c r="T10" i="50"/>
  <c r="T11" i="50"/>
  <c r="T8" i="50"/>
  <c r="Y19" i="31"/>
  <c r="Y20" i="31" s="1"/>
  <c r="AA19" i="31"/>
  <c r="AJ89" i="41"/>
  <c r="AK51" i="41"/>
  <c r="AK60" i="41"/>
  <c r="AK81" i="41"/>
  <c r="AJ88" i="40"/>
  <c r="AK50" i="40"/>
  <c r="AK59" i="40"/>
  <c r="AK80" i="40"/>
  <c r="AK52" i="39"/>
  <c r="AK61" i="39"/>
  <c r="AK82" i="39"/>
  <c r="AK51" i="38"/>
  <c r="AK60" i="38"/>
  <c r="AK81" i="38"/>
  <c r="AK60" i="32"/>
  <c r="AK51" i="32"/>
  <c r="AK43" i="32"/>
  <c r="H125" i="50"/>
  <c r="I223" i="39"/>
  <c r="I217" i="39"/>
  <c r="I212" i="39"/>
  <c r="H207" i="40"/>
  <c r="H294" i="40"/>
  <c r="H297" i="41"/>
  <c r="H125" i="49"/>
  <c r="H125" i="51"/>
  <c r="H127" i="51"/>
  <c r="H126" i="51"/>
  <c r="H123" i="51"/>
  <c r="H122" i="51"/>
  <c r="H127" i="50"/>
  <c r="H126" i="50"/>
  <c r="H123" i="50"/>
  <c r="H122" i="50"/>
  <c r="E262" i="32"/>
  <c r="E263" i="32"/>
  <c r="E264" i="32"/>
  <c r="E265" i="32"/>
  <c r="E266" i="32"/>
  <c r="V65" i="34"/>
  <c r="Z51" i="20"/>
  <c r="C217" i="3"/>
  <c r="C215" i="3"/>
  <c r="C216" i="3"/>
  <c r="H121" i="51" l="1"/>
  <c r="H296" i="41" s="1"/>
  <c r="H121" i="50"/>
  <c r="H124" i="50" s="1"/>
  <c r="F22" i="31"/>
  <c r="I24" i="47"/>
  <c r="H124" i="51" l="1"/>
  <c r="H293" i="40"/>
  <c r="AL60" i="20"/>
  <c r="AL51" i="20"/>
  <c r="AL43" i="20"/>
  <c r="AK113" i="22"/>
  <c r="AK62" i="21"/>
  <c r="AK53" i="21"/>
  <c r="AK89" i="22"/>
  <c r="AK82" i="22"/>
  <c r="AK61" i="22"/>
  <c r="AK52" i="22"/>
  <c r="AK44" i="22"/>
  <c r="AK37" i="22"/>
  <c r="Y24" i="21"/>
  <c r="H234" i="21" s="1"/>
  <c r="H127" i="49"/>
  <c r="F28" i="47" s="1"/>
  <c r="B26" i="47"/>
  <c r="E15" i="47"/>
  <c r="E17" i="47"/>
  <c r="I28" i="47"/>
  <c r="I26" i="47"/>
  <c r="H277" i="21"/>
  <c r="Z34" i="21"/>
  <c r="AA34" i="21" s="1"/>
  <c r="T104" i="49"/>
  <c r="W67" i="49"/>
  <c r="V67" i="49"/>
  <c r="U67" i="49" a="1"/>
  <c r="U67" i="49" s="1"/>
  <c r="W66" i="49"/>
  <c r="V66" i="49"/>
  <c r="U66" i="49" a="1"/>
  <c r="U66" i="49" s="1"/>
  <c r="W65" i="49"/>
  <c r="V65" i="49"/>
  <c r="U65" i="49" a="1"/>
  <c r="U65" i="49" s="1"/>
  <c r="W64" i="49"/>
  <c r="V64" i="49"/>
  <c r="U64" i="49" a="1"/>
  <c r="U64" i="49" s="1"/>
  <c r="G346" i="21" l="1"/>
  <c r="G345" i="21"/>
  <c r="G344" i="21"/>
  <c r="G343" i="21"/>
  <c r="G347" i="21"/>
  <c r="U75" i="49" a="1"/>
  <c r="U75" i="49" s="1"/>
  <c r="U74" i="49" a="1"/>
  <c r="U74" i="49" s="1"/>
  <c r="W75" i="49"/>
  <c r="V75" i="49"/>
  <c r="W74" i="49"/>
  <c r="V74" i="49"/>
  <c r="Y17" i="21" l="1"/>
  <c r="H231" i="21" s="1"/>
  <c r="U86" i="51"/>
  <c r="U85" i="51"/>
  <c r="U83" i="51"/>
  <c r="U84" i="51" s="1"/>
  <c r="U82" i="51"/>
  <c r="U86" i="50"/>
  <c r="U85" i="50"/>
  <c r="U83" i="50"/>
  <c r="U84" i="50" s="1"/>
  <c r="U82" i="50"/>
  <c r="Z53" i="41"/>
  <c r="Z52" i="41"/>
  <c r="Z51" i="41"/>
  <c r="Z50" i="41"/>
  <c r="Z49" i="41"/>
  <c r="Z52" i="40"/>
  <c r="Z51" i="40"/>
  <c r="Z50" i="40"/>
  <c r="Z49" i="40"/>
  <c r="Z48" i="40"/>
  <c r="Z54" i="39"/>
  <c r="Z53" i="39"/>
  <c r="Z52" i="39"/>
  <c r="Z51" i="39"/>
  <c r="Z50" i="39"/>
  <c r="Z53" i="38"/>
  <c r="Z52" i="38"/>
  <c r="Z51" i="38"/>
  <c r="Z50" i="38"/>
  <c r="Z49" i="38"/>
  <c r="Z53" i="32"/>
  <c r="Z52" i="32"/>
  <c r="Z51" i="32"/>
  <c r="Z50" i="32"/>
  <c r="Z49" i="32"/>
  <c r="X10" i="49"/>
  <c r="X11" i="49"/>
  <c r="X9" i="49"/>
  <c r="X8" i="49"/>
  <c r="U85" i="49"/>
  <c r="Z52" i="22"/>
  <c r="U83" i="49"/>
  <c r="U84" i="49" s="1"/>
  <c r="U86" i="49"/>
  <c r="U82" i="49"/>
  <c r="Z50" i="22"/>
  <c r="Z54" i="22"/>
  <c r="Z53" i="22"/>
  <c r="Z51" i="22"/>
  <c r="Z55" i="21"/>
  <c r="Z54" i="21"/>
  <c r="Z53" i="21"/>
  <c r="Z52" i="21"/>
  <c r="Z51" i="21"/>
  <c r="Z50" i="20"/>
  <c r="X74" i="49" l="1"/>
  <c r="X75" i="49"/>
  <c r="X38" i="34"/>
  <c r="V62" i="34" s="1"/>
  <c r="V22" i="34"/>
  <c r="D305" i="3"/>
  <c r="E305" i="3" s="1"/>
  <c r="F302" i="3"/>
  <c r="C305" i="3" s="1"/>
  <c r="F305" i="3" s="1"/>
  <c r="C303" i="3"/>
  <c r="F303" i="3" s="1"/>
  <c r="E303" i="3"/>
  <c r="E304" i="3"/>
  <c r="E302" i="3"/>
  <c r="C304" i="3" s="1"/>
  <c r="F304" i="3" s="1"/>
  <c r="Y51" i="34" s="1"/>
  <c r="V61" i="34" s="1"/>
  <c r="E25" i="34" l="1"/>
  <c r="S25" i="34" s="1"/>
  <c r="E24" i="34"/>
  <c r="S24" i="34" s="1"/>
  <c r="V63" i="34"/>
  <c r="V66" i="34" s="1"/>
  <c r="V69" i="34" s="1"/>
  <c r="AA52" i="32"/>
  <c r="AB52" i="32" s="1"/>
  <c r="AA52" i="38"/>
  <c r="AB52" i="38" s="1"/>
  <c r="AA53" i="39"/>
  <c r="AB53" i="39" s="1"/>
  <c r="V85" i="50"/>
  <c r="W85" i="50" s="1"/>
  <c r="AA51" i="40"/>
  <c r="AB51" i="40" s="1"/>
  <c r="AA52" i="41"/>
  <c r="AB52" i="41" s="1"/>
  <c r="V85" i="51"/>
  <c r="W85" i="51" s="1"/>
  <c r="AA54" i="21"/>
  <c r="AB54" i="21" s="1"/>
  <c r="V85" i="49"/>
  <c r="W85" i="49" s="1"/>
  <c r="AA53" i="22"/>
  <c r="AB53" i="22" s="1"/>
  <c r="W22" i="34" l="1"/>
  <c r="AA51" i="20" s="1"/>
  <c r="AB51" i="20" s="1"/>
  <c r="B67" i="52"/>
  <c r="B66" i="52"/>
  <c r="B65" i="52"/>
  <c r="G68" i="34" s="1"/>
  <c r="B57" i="52"/>
  <c r="B56" i="52"/>
  <c r="B52" i="52"/>
  <c r="B51" i="52"/>
  <c r="B50" i="52"/>
  <c r="E26" i="34" l="1"/>
  <c r="V70" i="34" s="1"/>
  <c r="E19" i="47" s="1"/>
  <c r="G70" i="34"/>
  <c r="G69" i="34"/>
  <c r="N134" i="41"/>
  <c r="N133" i="41"/>
  <c r="N132" i="41"/>
  <c r="N131" i="41"/>
  <c r="N133" i="40"/>
  <c r="N132" i="40"/>
  <c r="N131" i="40"/>
  <c r="N130" i="40"/>
  <c r="N81" i="39"/>
  <c r="N80" i="39"/>
  <c r="N79" i="39"/>
  <c r="N78" i="39"/>
  <c r="N80" i="38"/>
  <c r="N79" i="38"/>
  <c r="N78" i="38"/>
  <c r="N77" i="38"/>
  <c r="N114" i="32"/>
  <c r="N113" i="32"/>
  <c r="N112" i="32"/>
  <c r="N111" i="32"/>
  <c r="N162" i="22"/>
  <c r="N161" i="22"/>
  <c r="N160" i="22"/>
  <c r="N159" i="22"/>
  <c r="N152" i="21"/>
  <c r="N151" i="21"/>
  <c r="N150" i="21"/>
  <c r="N149" i="21"/>
  <c r="N114" i="20"/>
  <c r="N113" i="20"/>
  <c r="N112" i="20"/>
  <c r="N111" i="20"/>
  <c r="I210" i="39" l="1"/>
  <c r="I209" i="39"/>
  <c r="AB167" i="41"/>
  <c r="O167" i="41" s="1"/>
  <c r="AA167" i="41"/>
  <c r="Z167" i="41"/>
  <c r="Y167" i="41"/>
  <c r="AB166" i="41"/>
  <c r="O166" i="41" s="1"/>
  <c r="AA166" i="41"/>
  <c r="Z166" i="41"/>
  <c r="Y166" i="41"/>
  <c r="AB165" i="41"/>
  <c r="O165" i="41" s="1"/>
  <c r="AA165" i="41"/>
  <c r="Z165" i="41"/>
  <c r="Y165" i="41"/>
  <c r="AB165" i="40"/>
  <c r="O165" i="40" s="1"/>
  <c r="AA165" i="40"/>
  <c r="Z165" i="40"/>
  <c r="Y165" i="40"/>
  <c r="AB164" i="40"/>
  <c r="O164" i="40" s="1"/>
  <c r="AA164" i="40"/>
  <c r="Z164" i="40"/>
  <c r="Y164" i="40"/>
  <c r="AB163" i="40"/>
  <c r="O163" i="40" s="1"/>
  <c r="AA163" i="40"/>
  <c r="Z163" i="40"/>
  <c r="Y163" i="40"/>
  <c r="AB162" i="39"/>
  <c r="O162" i="39" s="1"/>
  <c r="AA162" i="39"/>
  <c r="Z162" i="39"/>
  <c r="Y162" i="39"/>
  <c r="AB161" i="39"/>
  <c r="O161" i="39" s="1"/>
  <c r="AA161" i="39"/>
  <c r="Z161" i="39"/>
  <c r="Y161" i="39"/>
  <c r="AB160" i="39"/>
  <c r="O160" i="39" s="1"/>
  <c r="AA160" i="39"/>
  <c r="Z160" i="39"/>
  <c r="Y160" i="39"/>
  <c r="AB148" i="38"/>
  <c r="O148" i="38" s="1"/>
  <c r="AA148" i="38"/>
  <c r="Z148" i="38"/>
  <c r="Y148" i="38"/>
  <c r="AB147" i="38"/>
  <c r="O147" i="38" s="1"/>
  <c r="AA147" i="38"/>
  <c r="Z147" i="38"/>
  <c r="Y147" i="38"/>
  <c r="AB146" i="38"/>
  <c r="O146" i="38" s="1"/>
  <c r="AA146" i="38"/>
  <c r="Z146" i="38"/>
  <c r="Y146" i="38"/>
  <c r="AB147" i="32"/>
  <c r="O147" i="32" s="1"/>
  <c r="AA147" i="32"/>
  <c r="Z147" i="32"/>
  <c r="Y147" i="32"/>
  <c r="AB146" i="32"/>
  <c r="O146" i="32" s="1"/>
  <c r="AA146" i="32"/>
  <c r="Z146" i="32"/>
  <c r="Y146" i="32"/>
  <c r="AB145" i="32"/>
  <c r="O145" i="32" s="1"/>
  <c r="AA145" i="32"/>
  <c r="Z145" i="32"/>
  <c r="Y145" i="32"/>
  <c r="AB216" i="22"/>
  <c r="O216" i="22" s="1"/>
  <c r="AA216" i="22"/>
  <c r="Z216" i="22"/>
  <c r="Y216" i="22"/>
  <c r="AB215" i="22"/>
  <c r="O215" i="22" s="1"/>
  <c r="AA215" i="22"/>
  <c r="Z215" i="22"/>
  <c r="Y215" i="22"/>
  <c r="AB214" i="22"/>
  <c r="O214" i="22" s="1"/>
  <c r="AA214" i="22"/>
  <c r="Z214" i="22"/>
  <c r="Y214" i="22"/>
  <c r="AB177" i="21"/>
  <c r="O177" i="21" s="1"/>
  <c r="AA177" i="21"/>
  <c r="Z177" i="21"/>
  <c r="Y177" i="21"/>
  <c r="AB176" i="21"/>
  <c r="O176" i="21" s="1"/>
  <c r="AA176" i="21"/>
  <c r="Z176" i="21"/>
  <c r="Y176" i="21"/>
  <c r="AB175" i="21"/>
  <c r="O175" i="21" s="1"/>
  <c r="AA175" i="21"/>
  <c r="Z175" i="21"/>
  <c r="Y175" i="21"/>
  <c r="F320" i="21"/>
  <c r="F319" i="21"/>
  <c r="F318" i="21"/>
  <c r="F317" i="21"/>
  <c r="F316" i="21"/>
  <c r="F315" i="21"/>
  <c r="F314" i="21"/>
  <c r="F313" i="21"/>
  <c r="F312" i="21"/>
  <c r="F311" i="21"/>
  <c r="F358" i="22"/>
  <c r="F357" i="22"/>
  <c r="F356" i="22"/>
  <c r="F355" i="22"/>
  <c r="F354" i="22"/>
  <c r="F353" i="22"/>
  <c r="F352" i="22"/>
  <c r="F351" i="22"/>
  <c r="F350" i="22"/>
  <c r="F349" i="22"/>
  <c r="AB146" i="20"/>
  <c r="O146" i="20" s="1"/>
  <c r="AA146" i="20"/>
  <c r="Z146" i="20"/>
  <c r="Y146" i="20"/>
  <c r="AB145" i="20"/>
  <c r="O145" i="20" s="1"/>
  <c r="AA145" i="20"/>
  <c r="Z145" i="20"/>
  <c r="Y145" i="20"/>
  <c r="AB144" i="20"/>
  <c r="O144" i="20" s="1"/>
  <c r="AA144" i="20"/>
  <c r="Z144" i="20"/>
  <c r="Y144" i="20"/>
  <c r="I211" i="39"/>
  <c r="W75" i="51"/>
  <c r="V75" i="51"/>
  <c r="U75" i="51" a="1"/>
  <c r="U75" i="51" s="1"/>
  <c r="W74" i="51"/>
  <c r="V74" i="51"/>
  <c r="U74" i="51" a="1"/>
  <c r="U74" i="51" s="1"/>
  <c r="O163" i="39" l="1"/>
  <c r="O149" i="38"/>
  <c r="O148" i="32"/>
  <c r="O168" i="41"/>
  <c r="H295" i="41" s="1"/>
  <c r="H200" i="41" s="1"/>
  <c r="O166" i="40"/>
  <c r="H292" i="40" s="1"/>
  <c r="H197" i="40" s="1"/>
  <c r="O217" i="22"/>
  <c r="H386" i="22" s="1"/>
  <c r="H252" i="22" s="1"/>
  <c r="O178" i="21"/>
  <c r="H350" i="21" s="1"/>
  <c r="O147" i="20"/>
  <c r="W75" i="50"/>
  <c r="V75" i="50"/>
  <c r="U75" i="50" a="1"/>
  <c r="U75" i="50" s="1"/>
  <c r="W74" i="50"/>
  <c r="V74" i="50"/>
  <c r="U74" i="50" a="1"/>
  <c r="U74" i="50" s="1"/>
  <c r="H319" i="20" l="1"/>
  <c r="H182" i="20"/>
  <c r="G350" i="21"/>
  <c r="V38" i="49"/>
  <c r="T39" i="49" a="1"/>
  <c r="T39" i="49" s="1"/>
  <c r="V39" i="49"/>
  <c r="T40" i="49" a="1"/>
  <c r="T40" i="49" s="1"/>
  <c r="V40" i="49"/>
  <c r="T41" i="49" a="1"/>
  <c r="T41" i="49" s="1"/>
  <c r="W41" i="49" s="1"/>
  <c r="V41" i="49"/>
  <c r="I204" i="39"/>
  <c r="I202" i="39"/>
  <c r="I186" i="39"/>
  <c r="F8" i="45"/>
  <c r="I21" i="47"/>
  <c r="X38" i="49" l="1" a="1"/>
  <c r="X38" i="49" s="1"/>
  <c r="J38" i="49" s="1"/>
  <c r="T64" i="49"/>
  <c r="X40" i="49" a="1"/>
  <c r="X40" i="49" s="1"/>
  <c r="J40" i="49" s="1"/>
  <c r="X39" i="49" a="1"/>
  <c r="X39" i="49" s="1"/>
  <c r="J39" i="49" s="1"/>
  <c r="X41" i="49" a="1"/>
  <c r="X41" i="49" s="1"/>
  <c r="J41" i="49" s="1"/>
  <c r="W104" i="51"/>
  <c r="V104" i="51"/>
  <c r="U104" i="51" a="1"/>
  <c r="U104" i="51" s="1"/>
  <c r="T104" i="51"/>
  <c r="W97" i="51" a="1"/>
  <c r="W97" i="51" s="1"/>
  <c r="V97" i="51" a="1"/>
  <c r="V97" i="51" s="1"/>
  <c r="U97" i="51"/>
  <c r="T97" i="51"/>
  <c r="O97" i="51"/>
  <c r="N97" i="51"/>
  <c r="W96" i="51" a="1"/>
  <c r="W96" i="51" s="1"/>
  <c r="V96" i="51" a="1"/>
  <c r="V96" i="51" s="1"/>
  <c r="U96" i="51"/>
  <c r="T96" i="51"/>
  <c r="O96" i="51"/>
  <c r="N96" i="51"/>
  <c r="W95" i="51" a="1"/>
  <c r="W95" i="51" s="1"/>
  <c r="V95" i="51" a="1"/>
  <c r="V95" i="51" s="1"/>
  <c r="U95" i="51"/>
  <c r="T95" i="51"/>
  <c r="O95" i="51"/>
  <c r="N95" i="51"/>
  <c r="W94" i="51" a="1"/>
  <c r="W94" i="51" s="1"/>
  <c r="V94" i="51" a="1"/>
  <c r="V94" i="51" s="1"/>
  <c r="U94" i="51"/>
  <c r="T94" i="51"/>
  <c r="O94" i="51"/>
  <c r="N94" i="51"/>
  <c r="W93" i="51" a="1"/>
  <c r="W93" i="51" s="1"/>
  <c r="V93" i="51" a="1"/>
  <c r="V93" i="51" s="1"/>
  <c r="U93" i="51"/>
  <c r="T93" i="51"/>
  <c r="O93" i="51"/>
  <c r="N93" i="51"/>
  <c r="W67" i="51"/>
  <c r="V67" i="51"/>
  <c r="U67" i="51" a="1"/>
  <c r="U67" i="51" s="1"/>
  <c r="W66" i="51"/>
  <c r="V66" i="51"/>
  <c r="U66" i="51" a="1"/>
  <c r="U66" i="51" s="1"/>
  <c r="W65" i="51"/>
  <c r="V65" i="51"/>
  <c r="U65" i="51" a="1"/>
  <c r="U65" i="51" s="1"/>
  <c r="W64" i="51"/>
  <c r="V64" i="51"/>
  <c r="U64" i="51" a="1"/>
  <c r="U64" i="51" s="1"/>
  <c r="W57" i="51"/>
  <c r="V57" i="51"/>
  <c r="T57" i="51"/>
  <c r="W56" i="51"/>
  <c r="V56" i="51"/>
  <c r="T56" i="51"/>
  <c r="AB41" i="51" a="1"/>
  <c r="AB41" i="51" s="1"/>
  <c r="AA41" i="51"/>
  <c r="W41" i="51"/>
  <c r="V41" i="51"/>
  <c r="U41" i="51" a="1"/>
  <c r="U41" i="51" s="1"/>
  <c r="T41" i="51" a="1"/>
  <c r="T41" i="51" s="1"/>
  <c r="AB40" i="51" a="1"/>
  <c r="AB40" i="51" s="1"/>
  <c r="AA40" i="51"/>
  <c r="W40" i="51"/>
  <c r="V40" i="51"/>
  <c r="U40" i="51" a="1"/>
  <c r="U40" i="51" s="1"/>
  <c r="T40" i="51" a="1"/>
  <c r="T40" i="51" s="1"/>
  <c r="AB39" i="51" a="1"/>
  <c r="AB39" i="51" s="1"/>
  <c r="AA39" i="51"/>
  <c r="W39" i="51"/>
  <c r="V39" i="51"/>
  <c r="U39" i="51" a="1"/>
  <c r="U39" i="51" s="1"/>
  <c r="T39" i="51" a="1"/>
  <c r="T39" i="51" s="1"/>
  <c r="AB38" i="51" a="1"/>
  <c r="AB38" i="51" s="1"/>
  <c r="AA38" i="51"/>
  <c r="W38" i="51"/>
  <c r="V38" i="51"/>
  <c r="U38" i="51" a="1"/>
  <c r="U38" i="51" s="1"/>
  <c r="T38" i="51" a="1"/>
  <c r="T38" i="51" s="1"/>
  <c r="W49" i="51"/>
  <c r="V49" i="51"/>
  <c r="U49" i="51"/>
  <c r="U57" i="51" s="1"/>
  <c r="T49" i="51"/>
  <c r="W48" i="51"/>
  <c r="V48" i="51"/>
  <c r="U48" i="51"/>
  <c r="U56" i="51" s="1"/>
  <c r="T74" i="51" s="1"/>
  <c r="T48" i="51"/>
  <c r="AA31" i="51"/>
  <c r="V31" i="51"/>
  <c r="U31" i="51"/>
  <c r="T31" i="51"/>
  <c r="AA30" i="51"/>
  <c r="V30" i="51"/>
  <c r="U30" i="51"/>
  <c r="T30" i="51"/>
  <c r="AA29" i="51"/>
  <c r="P29" i="51" s="1"/>
  <c r="V29" i="51"/>
  <c r="U29" i="51"/>
  <c r="T29" i="51"/>
  <c r="AA28" i="51"/>
  <c r="P28" i="51" s="1"/>
  <c r="V28" i="51"/>
  <c r="U28" i="51"/>
  <c r="T28" i="51"/>
  <c r="Y21" i="51"/>
  <c r="O21" i="51" s="1"/>
  <c r="U21" i="51"/>
  <c r="Y20" i="51"/>
  <c r="P20" i="51" s="1"/>
  <c r="U20" i="51"/>
  <c r="Y19" i="51"/>
  <c r="U19" i="51"/>
  <c r="Y18" i="51"/>
  <c r="U18" i="51"/>
  <c r="T11" i="51"/>
  <c r="T10" i="51"/>
  <c r="T9" i="51"/>
  <c r="T8" i="51"/>
  <c r="W104" i="50"/>
  <c r="V104" i="50"/>
  <c r="U104" i="50" a="1"/>
  <c r="U104" i="50" s="1"/>
  <c r="T104" i="50"/>
  <c r="W97" i="50" a="1"/>
  <c r="W97" i="50" s="1"/>
  <c r="V97" i="50" a="1"/>
  <c r="V97" i="50" s="1"/>
  <c r="U97" i="50"/>
  <c r="T97" i="50"/>
  <c r="O97" i="50"/>
  <c r="N97" i="50"/>
  <c r="W96" i="50" a="1"/>
  <c r="W96" i="50" s="1"/>
  <c r="V96" i="50" a="1"/>
  <c r="V96" i="50" s="1"/>
  <c r="U96" i="50"/>
  <c r="T96" i="50"/>
  <c r="O96" i="50"/>
  <c r="N96" i="50"/>
  <c r="W95" i="50" a="1"/>
  <c r="W95" i="50" s="1"/>
  <c r="V95" i="50" a="1"/>
  <c r="V95" i="50" s="1"/>
  <c r="U95" i="50"/>
  <c r="T95" i="50"/>
  <c r="O95" i="50"/>
  <c r="N95" i="50"/>
  <c r="W94" i="50" a="1"/>
  <c r="W94" i="50" s="1"/>
  <c r="V94" i="50" a="1"/>
  <c r="V94" i="50" s="1"/>
  <c r="U94" i="50"/>
  <c r="T94" i="50"/>
  <c r="O94" i="50"/>
  <c r="N94" i="50"/>
  <c r="W93" i="50" a="1"/>
  <c r="W93" i="50" s="1"/>
  <c r="V93" i="50" a="1"/>
  <c r="V93" i="50" s="1"/>
  <c r="U93" i="50"/>
  <c r="T93" i="50"/>
  <c r="O93" i="50"/>
  <c r="N93" i="50"/>
  <c r="W67" i="50"/>
  <c r="V67" i="50"/>
  <c r="U67" i="50" a="1"/>
  <c r="U67" i="50" s="1"/>
  <c r="W66" i="50"/>
  <c r="V66" i="50"/>
  <c r="U66" i="50" a="1"/>
  <c r="U66" i="50" s="1"/>
  <c r="W65" i="50"/>
  <c r="V65" i="50"/>
  <c r="U65" i="50" a="1"/>
  <c r="U65" i="50" s="1"/>
  <c r="W64" i="50"/>
  <c r="V64" i="50"/>
  <c r="U64" i="50" a="1"/>
  <c r="U64" i="50" s="1"/>
  <c r="W57" i="50"/>
  <c r="V57" i="50"/>
  <c r="T57" i="50"/>
  <c r="W56" i="50"/>
  <c r="V56" i="50"/>
  <c r="T56" i="50"/>
  <c r="AB41" i="50" a="1"/>
  <c r="AB41" i="50" s="1"/>
  <c r="AA41" i="50"/>
  <c r="W41" i="50"/>
  <c r="V41" i="50"/>
  <c r="U41" i="50" a="1"/>
  <c r="U41" i="50" s="1"/>
  <c r="T41" i="50" a="1"/>
  <c r="T41" i="50" s="1"/>
  <c r="AB40" i="50" a="1"/>
  <c r="AB40" i="50" s="1"/>
  <c r="AA40" i="50"/>
  <c r="W40" i="50"/>
  <c r="V40" i="50"/>
  <c r="U40" i="50" a="1"/>
  <c r="U40" i="50" s="1"/>
  <c r="T40" i="50" a="1"/>
  <c r="T40" i="50" s="1"/>
  <c r="AB39" i="50" a="1"/>
  <c r="AB39" i="50" s="1"/>
  <c r="AA39" i="50"/>
  <c r="W39" i="50"/>
  <c r="V39" i="50"/>
  <c r="U39" i="50" a="1"/>
  <c r="U39" i="50" s="1"/>
  <c r="T39" i="50" a="1"/>
  <c r="T39" i="50" s="1"/>
  <c r="AB38" i="50" a="1"/>
  <c r="AB38" i="50" s="1"/>
  <c r="AA38" i="50"/>
  <c r="W38" i="50"/>
  <c r="V38" i="50"/>
  <c r="U38" i="50" a="1"/>
  <c r="U38" i="50" s="1"/>
  <c r="T38" i="50" a="1"/>
  <c r="T38" i="50" s="1"/>
  <c r="W49" i="50"/>
  <c r="V49" i="50"/>
  <c r="U49" i="50"/>
  <c r="U57" i="50" s="1"/>
  <c r="T49" i="50"/>
  <c r="W48" i="50"/>
  <c r="V48" i="50"/>
  <c r="U48" i="50"/>
  <c r="U56" i="50" s="1"/>
  <c r="T74" i="50" s="1"/>
  <c r="T48" i="50"/>
  <c r="AA31" i="50"/>
  <c r="V31" i="50"/>
  <c r="U31" i="50"/>
  <c r="T31" i="50"/>
  <c r="AA30" i="50"/>
  <c r="V30" i="50"/>
  <c r="U30" i="50"/>
  <c r="T30" i="50"/>
  <c r="AA29" i="50"/>
  <c r="O29" i="50" s="1"/>
  <c r="V29" i="50"/>
  <c r="U29" i="50"/>
  <c r="T29" i="50"/>
  <c r="AA28" i="50"/>
  <c r="O28" i="50" s="1"/>
  <c r="V28" i="50"/>
  <c r="U28" i="50"/>
  <c r="T28" i="50"/>
  <c r="Y21" i="50"/>
  <c r="P21" i="50" s="1"/>
  <c r="U21" i="50"/>
  <c r="Y20" i="50"/>
  <c r="P20" i="50" s="1"/>
  <c r="U20" i="50"/>
  <c r="Y19" i="50"/>
  <c r="U19" i="50"/>
  <c r="Y18" i="50"/>
  <c r="U18" i="50"/>
  <c r="AL32" i="20"/>
  <c r="AL42" i="20"/>
  <c r="E296" i="20"/>
  <c r="E13" i="47"/>
  <c r="B19" i="47"/>
  <c r="B13" i="47"/>
  <c r="B16" i="47"/>
  <c r="U104" i="49" a="1"/>
  <c r="U104" i="49" s="1"/>
  <c r="V9" i="51" l="1" a="1"/>
  <c r="V9" i="51" s="1"/>
  <c r="W9" i="51" a="1"/>
  <c r="W9" i="51" s="1"/>
  <c r="U9" i="51" a="1"/>
  <c r="U9" i="51" s="1"/>
  <c r="W10" i="51" a="1"/>
  <c r="W10" i="51" s="1"/>
  <c r="V10" i="51" a="1"/>
  <c r="V10" i="51" s="1"/>
  <c r="U10" i="51" a="1"/>
  <c r="U10" i="51" s="1"/>
  <c r="V9" i="50" a="1"/>
  <c r="V9" i="50" s="1"/>
  <c r="U9" i="50" a="1"/>
  <c r="U9" i="50" s="1"/>
  <c r="W9" i="50" a="1"/>
  <c r="W9" i="50" s="1"/>
  <c r="W10" i="50" a="1"/>
  <c r="W10" i="50" s="1"/>
  <c r="V10" i="50" a="1"/>
  <c r="V10" i="50" s="1"/>
  <c r="U10" i="50" a="1"/>
  <c r="U10" i="50" s="1"/>
  <c r="T75" i="51"/>
  <c r="P49" i="51"/>
  <c r="O49" i="51"/>
  <c r="P48" i="51"/>
  <c r="Z56" i="51" s="1"/>
  <c r="O48" i="51"/>
  <c r="P49" i="50"/>
  <c r="O49" i="50"/>
  <c r="P48" i="50"/>
  <c r="O48" i="50"/>
  <c r="V8" i="51" a="1"/>
  <c r="V8" i="51" s="1"/>
  <c r="U8" i="51" a="1"/>
  <c r="U8" i="51" s="1"/>
  <c r="W8" i="51" a="1"/>
  <c r="W8" i="51" s="1"/>
  <c r="W11" i="51" a="1"/>
  <c r="W11" i="51" s="1"/>
  <c r="V11" i="51" a="1"/>
  <c r="V11" i="51" s="1"/>
  <c r="U11" i="51" a="1"/>
  <c r="U11" i="51" s="1"/>
  <c r="U11" i="50" a="1"/>
  <c r="U11" i="50" s="1"/>
  <c r="V11" i="50" a="1"/>
  <c r="V11" i="50" s="1"/>
  <c r="W11" i="50" a="1"/>
  <c r="W11" i="50" s="1"/>
  <c r="T75" i="50"/>
  <c r="V8" i="50" a="1"/>
  <c r="V8" i="50" s="1"/>
  <c r="W8" i="50" a="1"/>
  <c r="W8" i="50" s="1"/>
  <c r="Z56" i="50"/>
  <c r="Y57" i="50"/>
  <c r="Y56" i="51"/>
  <c r="T66" i="51"/>
  <c r="T64" i="51"/>
  <c r="T65" i="51"/>
  <c r="O29" i="51"/>
  <c r="O28" i="51"/>
  <c r="N98" i="51"/>
  <c r="O98" i="51"/>
  <c r="X40" i="51" a="1"/>
  <c r="X40" i="51" s="1"/>
  <c r="X57" i="51" a="1"/>
  <c r="X57" i="51" s="1"/>
  <c r="X39" i="51" a="1"/>
  <c r="X39" i="51" s="1"/>
  <c r="T67" i="51"/>
  <c r="X41" i="51" a="1"/>
  <c r="X41" i="51" s="1"/>
  <c r="Z57" i="51"/>
  <c r="X104" i="51" a="1"/>
  <c r="X104" i="51" s="1"/>
  <c r="X56" i="51" a="1"/>
  <c r="X56" i="51" s="1"/>
  <c r="T67" i="50"/>
  <c r="T66" i="50"/>
  <c r="T64" i="50"/>
  <c r="X104" i="50" a="1"/>
  <c r="X104" i="50" s="1"/>
  <c r="P28" i="50"/>
  <c r="T65" i="50"/>
  <c r="X56" i="50" a="1"/>
  <c r="X56" i="50" s="1"/>
  <c r="Z57" i="50"/>
  <c r="O98" i="50"/>
  <c r="Y56" i="50"/>
  <c r="X38" i="51" a="1"/>
  <c r="X38" i="51" s="1"/>
  <c r="P21" i="51"/>
  <c r="N98" i="50"/>
  <c r="O20" i="51"/>
  <c r="X41" i="50" a="1"/>
  <c r="X41" i="50" s="1"/>
  <c r="X39" i="50" a="1"/>
  <c r="X39" i="50" s="1"/>
  <c r="X38" i="50" a="1"/>
  <c r="X38" i="50" s="1"/>
  <c r="X40" i="50" a="1"/>
  <c r="X40" i="50" s="1"/>
  <c r="X57" i="50" a="1"/>
  <c r="X57" i="50" s="1"/>
  <c r="O21" i="50"/>
  <c r="O20" i="50"/>
  <c r="P29" i="50"/>
  <c r="P50" i="50" l="1"/>
  <c r="O50" i="50"/>
  <c r="P50" i="51"/>
  <c r="AA56" i="51"/>
  <c r="P56" i="51" s="1"/>
  <c r="H194" i="38"/>
  <c r="AA57" i="50"/>
  <c r="O57" i="50" s="1"/>
  <c r="AA56" i="50"/>
  <c r="P56" i="50" s="1"/>
  <c r="Y57" i="51"/>
  <c r="AA57" i="51"/>
  <c r="O50" i="51"/>
  <c r="W104" i="49"/>
  <c r="V104" i="49"/>
  <c r="X104" i="49" s="1" a="1"/>
  <c r="X104" i="49" s="1"/>
  <c r="H123" i="49" s="1"/>
  <c r="O56" i="51" l="1"/>
  <c r="H210" i="41"/>
  <c r="H193" i="32"/>
  <c r="H207" i="39"/>
  <c r="P57" i="50"/>
  <c r="P58" i="50" s="1"/>
  <c r="O56" i="50"/>
  <c r="O58" i="50" s="1"/>
  <c r="P57" i="51"/>
  <c r="P58" i="51" s="1"/>
  <c r="O57" i="51"/>
  <c r="O58" i="51" l="1"/>
  <c r="W97" i="49" a="1"/>
  <c r="W97" i="49" s="1"/>
  <c r="V97" i="49" a="1"/>
  <c r="V97" i="49" s="1"/>
  <c r="U97" i="49"/>
  <c r="T97" i="49"/>
  <c r="O97" i="49"/>
  <c r="N97" i="49"/>
  <c r="W96" i="49" a="1"/>
  <c r="W96" i="49" s="1"/>
  <c r="V96" i="49" a="1"/>
  <c r="V96" i="49" s="1"/>
  <c r="U96" i="49"/>
  <c r="T96" i="49"/>
  <c r="O96" i="49"/>
  <c r="N96" i="49"/>
  <c r="W95" i="49" a="1"/>
  <c r="W95" i="49" s="1"/>
  <c r="V95" i="49" a="1"/>
  <c r="V95" i="49" s="1"/>
  <c r="U95" i="49"/>
  <c r="T95" i="49"/>
  <c r="O95" i="49"/>
  <c r="N95" i="49"/>
  <c r="W94" i="49" a="1"/>
  <c r="W94" i="49" s="1"/>
  <c r="V94" i="49" a="1"/>
  <c r="V94" i="49" s="1"/>
  <c r="U94" i="49"/>
  <c r="T94" i="49"/>
  <c r="O94" i="49"/>
  <c r="N94" i="49"/>
  <c r="W93" i="49" a="1"/>
  <c r="W93" i="49" s="1"/>
  <c r="V93" i="49" a="1"/>
  <c r="V93" i="49" s="1"/>
  <c r="U93" i="49"/>
  <c r="T93" i="49"/>
  <c r="O93" i="49" l="1"/>
  <c r="O98" i="49" s="1"/>
  <c r="N93" i="49"/>
  <c r="N98" i="49" s="1"/>
  <c r="AB39" i="49" l="1" a="1"/>
  <c r="AB39" i="49" s="1"/>
  <c r="AB40" i="49" a="1"/>
  <c r="AB40" i="49" s="1"/>
  <c r="AB41" i="49" a="1"/>
  <c r="AB41" i="49" s="1"/>
  <c r="AB38" i="49" a="1"/>
  <c r="AB38" i="49" s="1"/>
  <c r="T9" i="49"/>
  <c r="W9" i="49" s="1" a="1"/>
  <c r="W9" i="49" s="1"/>
  <c r="T10" i="49"/>
  <c r="W10" i="49" s="1" a="1"/>
  <c r="W10" i="49" s="1"/>
  <c r="T11" i="49"/>
  <c r="W11" i="49" s="1" a="1"/>
  <c r="W11" i="49" s="1"/>
  <c r="W8" i="49" l="1" a="1"/>
  <c r="W8" i="49" s="1"/>
  <c r="V8" i="49" a="1"/>
  <c r="V8" i="49" s="1"/>
  <c r="V10" i="49" a="1"/>
  <c r="V10" i="49" s="1"/>
  <c r="U10" i="49" a="1"/>
  <c r="U10" i="49" s="1"/>
  <c r="V9" i="49" a="1"/>
  <c r="V9" i="49" s="1"/>
  <c r="U9" i="49" a="1"/>
  <c r="U9" i="49" s="1"/>
  <c r="U8" i="49" a="1"/>
  <c r="U8" i="49" s="1"/>
  <c r="V11" i="49" a="1"/>
  <c r="V11" i="49" s="1"/>
  <c r="U11" i="49" a="1"/>
  <c r="U11" i="49" s="1"/>
  <c r="W28" i="49" l="1" a="1"/>
  <c r="W28" i="49" s="1"/>
  <c r="X28" i="49" a="1"/>
  <c r="X28" i="49" s="1"/>
  <c r="AA29" i="49"/>
  <c r="AA30" i="49"/>
  <c r="AA31" i="49"/>
  <c r="AA28" i="49"/>
  <c r="Y19" i="49"/>
  <c r="Y20" i="49"/>
  <c r="Y21" i="49"/>
  <c r="Y18" i="49"/>
  <c r="T57" i="49"/>
  <c r="V57" i="49"/>
  <c r="W57" i="49"/>
  <c r="U56" i="49"/>
  <c r="Y74" i="49" s="1"/>
  <c r="W56" i="49"/>
  <c r="V56" i="49"/>
  <c r="T56" i="49"/>
  <c r="H126" i="49" s="1"/>
  <c r="C28" i="47" l="1"/>
  <c r="U57" i="49"/>
  <c r="X56" i="49" a="1"/>
  <c r="X56" i="49" s="1"/>
  <c r="I56" i="49" s="1"/>
  <c r="T29" i="49"/>
  <c r="V29" i="49"/>
  <c r="T65" i="49" s="1"/>
  <c r="X65" i="49" s="1"/>
  <c r="T30" i="49"/>
  <c r="V30" i="49"/>
  <c r="T66" i="49" s="1"/>
  <c r="X66" i="49" s="1"/>
  <c r="T31" i="49"/>
  <c r="V31" i="49"/>
  <c r="T67" i="49" s="1"/>
  <c r="X67" i="49" s="1"/>
  <c r="V28" i="49"/>
  <c r="X64" i="49" s="1"/>
  <c r="U19" i="49"/>
  <c r="U20" i="49"/>
  <c r="U21" i="49"/>
  <c r="H121" i="49" l="1"/>
  <c r="T75" i="49"/>
  <c r="X57" i="49" a="1"/>
  <c r="X57" i="49" s="1"/>
  <c r="I57" i="49" s="1"/>
  <c r="Y75" i="49" l="1"/>
  <c r="H122" i="49" s="1"/>
  <c r="T28" i="49"/>
  <c r="B352" i="3"/>
  <c r="B351" i="3"/>
  <c r="B350" i="3"/>
  <c r="B349" i="3"/>
  <c r="B348" i="3"/>
  <c r="B347" i="3"/>
  <c r="B346" i="3"/>
  <c r="B345" i="3"/>
  <c r="B334" i="3"/>
  <c r="B333" i="3"/>
  <c r="B339" i="3"/>
  <c r="B340" i="3"/>
  <c r="B338" i="3"/>
  <c r="C339" i="3"/>
  <c r="C340" i="3"/>
  <c r="C338" i="3"/>
  <c r="C336" i="3"/>
  <c r="C337" i="3"/>
  <c r="C335" i="3"/>
  <c r="B336" i="3"/>
  <c r="B337" i="3"/>
  <c r="B335" i="3"/>
  <c r="C334" i="3"/>
  <c r="C333" i="3"/>
  <c r="H351" i="21" l="1"/>
  <c r="H320" i="20"/>
  <c r="H321" i="21"/>
  <c r="H387" i="22"/>
  <c r="W28" i="51" a="1"/>
  <c r="W28" i="51" s="1"/>
  <c r="Y28" i="51" s="1"/>
  <c r="X28" i="50" a="1"/>
  <c r="X28" i="50" s="1"/>
  <c r="Z28" i="50" s="1"/>
  <c r="X31" i="51" a="1"/>
  <c r="X31" i="51" s="1"/>
  <c r="Z31" i="51" s="1"/>
  <c r="P31" i="51" s="1"/>
  <c r="Z41" i="51" s="1" a="1"/>
  <c r="Z41" i="51" s="1"/>
  <c r="W31" i="51" a="1"/>
  <c r="W31" i="51" s="1"/>
  <c r="Y31" i="51" s="1"/>
  <c r="O31" i="51" s="1"/>
  <c r="X28" i="51" a="1"/>
  <c r="X28" i="51" s="1"/>
  <c r="Z28" i="51" s="1"/>
  <c r="X29" i="50" a="1"/>
  <c r="X29" i="50" s="1"/>
  <c r="Z29" i="50" s="1"/>
  <c r="W31" i="50" a="1"/>
  <c r="W31" i="50" s="1"/>
  <c r="Y31" i="50" s="1"/>
  <c r="O31" i="50" s="1"/>
  <c r="W30" i="50" a="1"/>
  <c r="W30" i="50" s="1"/>
  <c r="Y30" i="50" s="1"/>
  <c r="O30" i="50" s="1"/>
  <c r="X30" i="50" a="1"/>
  <c r="X30" i="50" s="1"/>
  <c r="Z30" i="50" s="1"/>
  <c r="P30" i="50" s="1"/>
  <c r="X30" i="51" a="1"/>
  <c r="X30" i="51" s="1"/>
  <c r="Z30" i="51" s="1"/>
  <c r="P30" i="51" s="1"/>
  <c r="W29" i="51" a="1"/>
  <c r="W29" i="51" s="1"/>
  <c r="Y29" i="51" s="1"/>
  <c r="X29" i="51" a="1"/>
  <c r="X29" i="51" s="1"/>
  <c r="Z29" i="51" s="1"/>
  <c r="W30" i="51" a="1"/>
  <c r="W30" i="51" s="1"/>
  <c r="Y30" i="51" s="1"/>
  <c r="O30" i="51" s="1"/>
  <c r="W28" i="50" a="1"/>
  <c r="W28" i="50" s="1"/>
  <c r="Y28" i="50" s="1"/>
  <c r="W29" i="50" a="1"/>
  <c r="W29" i="50" s="1"/>
  <c r="Y29" i="50" s="1"/>
  <c r="X31" i="50" a="1"/>
  <c r="X31" i="50" s="1"/>
  <c r="Z31" i="50" s="1"/>
  <c r="P31" i="50" s="1"/>
  <c r="Z41" i="50" s="1" a="1"/>
  <c r="Z41" i="50" s="1"/>
  <c r="W31" i="49" a="1"/>
  <c r="W31" i="49" s="1"/>
  <c r="W30" i="49" a="1"/>
  <c r="W30" i="49" s="1"/>
  <c r="X30" i="49" a="1"/>
  <c r="X30" i="49" s="1"/>
  <c r="X31" i="49" a="1"/>
  <c r="X31" i="49" s="1"/>
  <c r="W29" i="49" a="1"/>
  <c r="W29" i="49" s="1"/>
  <c r="X29" i="49" a="1"/>
  <c r="X29" i="49" s="1"/>
  <c r="V21" i="51" a="1"/>
  <c r="V21" i="51" s="1"/>
  <c r="T21" i="51" s="1" a="1"/>
  <c r="T21" i="51" s="1"/>
  <c r="V19" i="50" a="1"/>
  <c r="V19" i="50" s="1"/>
  <c r="T19" i="50" s="1" a="1"/>
  <c r="T19" i="50" s="1"/>
  <c r="V19" i="51" a="1"/>
  <c r="V19" i="51" s="1"/>
  <c r="T19" i="51" s="1" a="1"/>
  <c r="T19" i="51" s="1"/>
  <c r="V18" i="51" a="1"/>
  <c r="V18" i="51" s="1"/>
  <c r="T18" i="51" s="1" a="1"/>
  <c r="T18" i="51" s="1"/>
  <c r="V20" i="51" a="1"/>
  <c r="V20" i="51" s="1"/>
  <c r="T20" i="51" s="1" a="1"/>
  <c r="T20" i="51" s="1"/>
  <c r="V18" i="50" a="1"/>
  <c r="V18" i="50" s="1"/>
  <c r="T18" i="50" s="1" a="1"/>
  <c r="T18" i="50" s="1"/>
  <c r="V21" i="50" a="1"/>
  <c r="V21" i="50" s="1"/>
  <c r="T21" i="50" s="1" a="1"/>
  <c r="T21" i="50" s="1"/>
  <c r="V20" i="50" a="1"/>
  <c r="V20" i="50" s="1"/>
  <c r="T20" i="50" s="1" a="1"/>
  <c r="T20" i="50" s="1"/>
  <c r="V19" i="49" a="1"/>
  <c r="V19" i="49" s="1"/>
  <c r="T19" i="49" s="1" a="1"/>
  <c r="T19" i="49" s="1"/>
  <c r="X19" i="49" s="1"/>
  <c r="V21" i="49" a="1"/>
  <c r="V21" i="49" s="1"/>
  <c r="V20" i="49" a="1"/>
  <c r="V20" i="49" s="1"/>
  <c r="T20" i="49" s="1" a="1"/>
  <c r="T20" i="49" s="1"/>
  <c r="X20" i="49" s="1"/>
  <c r="P20" i="49" s="1"/>
  <c r="U18" i="49"/>
  <c r="F327" i="3"/>
  <c r="E327" i="3"/>
  <c r="T21" i="49" l="1" a="1"/>
  <c r="T21" i="49" s="1"/>
  <c r="X21" i="49" s="1"/>
  <c r="P21" i="49" s="1"/>
  <c r="X18" i="50"/>
  <c r="P18" i="50" s="1"/>
  <c r="W18" i="50"/>
  <c r="O18" i="50" s="1"/>
  <c r="W20" i="50"/>
  <c r="X20" i="50"/>
  <c r="W19" i="51"/>
  <c r="O19" i="51" s="1"/>
  <c r="X19" i="51"/>
  <c r="P19" i="51" s="1"/>
  <c r="Z39" i="51" s="1" a="1"/>
  <c r="Z39" i="51" s="1"/>
  <c r="W21" i="50"/>
  <c r="X21" i="50"/>
  <c r="Y40" i="51" a="1"/>
  <c r="Y40" i="51" s="1"/>
  <c r="AC40" i="51"/>
  <c r="O32" i="51"/>
  <c r="Z40" i="51" a="1"/>
  <c r="Z40" i="51" s="1"/>
  <c r="P32" i="51"/>
  <c r="X19" i="50"/>
  <c r="P19" i="50" s="1"/>
  <c r="Z39" i="50" s="1" a="1"/>
  <c r="Z39" i="50" s="1"/>
  <c r="W19" i="50"/>
  <c r="O19" i="50" s="1"/>
  <c r="X21" i="51"/>
  <c r="W21" i="51"/>
  <c r="Y41" i="50" a="1"/>
  <c r="Y41" i="50" s="1"/>
  <c r="AC41" i="50"/>
  <c r="AC40" i="50"/>
  <c r="O32" i="50"/>
  <c r="Y40" i="50" a="1"/>
  <c r="Y40" i="50" s="1"/>
  <c r="W18" i="51"/>
  <c r="O18" i="51" s="1"/>
  <c r="X18" i="51"/>
  <c r="P18" i="51" s="1"/>
  <c r="X20" i="51"/>
  <c r="W20" i="51"/>
  <c r="Z40" i="50" a="1"/>
  <c r="Z40" i="50" s="1"/>
  <c r="P32" i="50"/>
  <c r="Y41" i="51" a="1"/>
  <c r="Y41" i="51" s="1"/>
  <c r="AC41" i="51"/>
  <c r="Z30" i="49"/>
  <c r="P30" i="49" s="1"/>
  <c r="Z40" i="49" s="1" a="1"/>
  <c r="Z40" i="49" s="1"/>
  <c r="Y31" i="49"/>
  <c r="O31" i="49" s="1"/>
  <c r="Y30" i="49"/>
  <c r="O30" i="49" s="1"/>
  <c r="Z31" i="49"/>
  <c r="P31" i="49" s="1"/>
  <c r="Z29" i="49"/>
  <c r="P29" i="49" s="1"/>
  <c r="Y29" i="49"/>
  <c r="O29" i="49" s="1"/>
  <c r="T18" i="49" a="1"/>
  <c r="T18" i="49" s="1"/>
  <c r="W20" i="49"/>
  <c r="O20" i="49" s="1"/>
  <c r="P19" i="49"/>
  <c r="W19" i="49"/>
  <c r="O19" i="49" s="1"/>
  <c r="AC40" i="49" l="1"/>
  <c r="P40" i="49" s="1"/>
  <c r="Z41" i="49" a="1"/>
  <c r="Z41" i="49" s="1"/>
  <c r="Y40" i="49" a="1"/>
  <c r="Y40" i="49" s="1"/>
  <c r="W21" i="49"/>
  <c r="O21" i="49" s="1"/>
  <c r="Y41" i="49" s="1" a="1"/>
  <c r="Y41" i="49" s="1"/>
  <c r="Z39" i="49" a="1"/>
  <c r="Z39" i="49" s="1"/>
  <c r="Y39" i="49" a="1"/>
  <c r="Y39" i="49" s="1"/>
  <c r="O40" i="50"/>
  <c r="Y39" i="50" a="1"/>
  <c r="Y39" i="50" s="1"/>
  <c r="AC39" i="50"/>
  <c r="P41" i="51"/>
  <c r="O41" i="51"/>
  <c r="Z38" i="50" a="1"/>
  <c r="Z38" i="50" s="1"/>
  <c r="P22" i="50"/>
  <c r="H111" i="50" s="1"/>
  <c r="Y38" i="51" a="1"/>
  <c r="Y38" i="51" s="1"/>
  <c r="AC38" i="51"/>
  <c r="P40" i="51"/>
  <c r="O40" i="51"/>
  <c r="Z38" i="51" a="1"/>
  <c r="Z38" i="51" s="1"/>
  <c r="P22" i="51"/>
  <c r="H111" i="51" s="1"/>
  <c r="O22" i="51"/>
  <c r="H112" i="51" s="1"/>
  <c r="Y39" i="51" a="1"/>
  <c r="Y39" i="51" s="1"/>
  <c r="AC39" i="51"/>
  <c r="P40" i="50"/>
  <c r="P41" i="50"/>
  <c r="O41" i="50"/>
  <c r="Y38" i="50" a="1"/>
  <c r="Y38" i="50" s="1"/>
  <c r="AC38" i="50"/>
  <c r="O22" i="50"/>
  <c r="H112" i="50" s="1"/>
  <c r="AC39" i="49"/>
  <c r="X18" i="49"/>
  <c r="P18" i="49" s="1"/>
  <c r="W18" i="49"/>
  <c r="O18" i="49" s="1"/>
  <c r="Y139" i="22"/>
  <c r="Y138" i="22"/>
  <c r="Y137" i="22"/>
  <c r="Y135" i="22"/>
  <c r="Y134" i="22"/>
  <c r="Y133" i="22"/>
  <c r="AE70" i="41"/>
  <c r="AE69" i="41"/>
  <c r="AE68" i="41"/>
  <c r="AD150" i="41"/>
  <c r="AD149" i="41"/>
  <c r="AD148" i="41"/>
  <c r="AE69" i="40"/>
  <c r="AE68" i="40"/>
  <c r="AE67" i="40"/>
  <c r="AD149" i="40"/>
  <c r="AD148" i="40"/>
  <c r="AD147" i="40"/>
  <c r="AE71" i="39"/>
  <c r="AE70" i="39"/>
  <c r="AE69" i="39"/>
  <c r="AD139" i="39"/>
  <c r="AD138" i="39"/>
  <c r="AD137" i="39"/>
  <c r="AE70" i="38"/>
  <c r="AE69" i="38"/>
  <c r="AE68" i="38"/>
  <c r="AD130" i="38"/>
  <c r="AD129" i="38"/>
  <c r="AD128" i="38"/>
  <c r="AE70" i="32"/>
  <c r="AE69" i="32"/>
  <c r="AE68" i="32"/>
  <c r="AD130" i="32"/>
  <c r="AD129" i="32"/>
  <c r="AD128" i="32"/>
  <c r="AD178" i="22"/>
  <c r="AD177" i="22"/>
  <c r="AD176" i="22"/>
  <c r="AD168" i="21"/>
  <c r="AD167" i="21"/>
  <c r="AD166" i="21"/>
  <c r="AD130" i="20"/>
  <c r="AD129" i="20"/>
  <c r="AD128" i="20"/>
  <c r="D88" i="42"/>
  <c r="D96" i="42"/>
  <c r="AC15" i="41"/>
  <c r="L180" i="39" a="1"/>
  <c r="L180" i="39" s="1"/>
  <c r="K179" i="39" s="1"/>
  <c r="L167" i="38" a="1"/>
  <c r="L167" i="38" s="1"/>
  <c r="K166" i="38" s="1"/>
  <c r="L165" i="32" a="1"/>
  <c r="L165" i="32" s="1"/>
  <c r="K165" i="32" s="1"/>
  <c r="O40" i="49" l="1"/>
  <c r="P39" i="49"/>
  <c r="O39" i="49"/>
  <c r="AC41" i="49"/>
  <c r="P39" i="51"/>
  <c r="O39" i="51"/>
  <c r="P38" i="50"/>
  <c r="O38" i="50"/>
  <c r="P38" i="51"/>
  <c r="O38" i="51"/>
  <c r="P39" i="50"/>
  <c r="O39" i="50"/>
  <c r="Z28" i="49"/>
  <c r="Y28" i="49"/>
  <c r="O22" i="49"/>
  <c r="P22" i="49"/>
  <c r="E257" i="32"/>
  <c r="E258" i="38"/>
  <c r="E273" i="39"/>
  <c r="E273" i="40"/>
  <c r="E276" i="41"/>
  <c r="E282" i="41"/>
  <c r="E283" i="41"/>
  <c r="E284" i="41"/>
  <c r="E285" i="41"/>
  <c r="E281" i="41"/>
  <c r="E280" i="41"/>
  <c r="E279" i="41"/>
  <c r="E278" i="41"/>
  <c r="E277" i="41"/>
  <c r="E279" i="40"/>
  <c r="E280" i="40"/>
  <c r="E281" i="40"/>
  <c r="E282" i="40"/>
  <c r="E278" i="40"/>
  <c r="E277" i="40"/>
  <c r="E276" i="40"/>
  <c r="E275" i="40"/>
  <c r="E274" i="40"/>
  <c r="E283" i="39"/>
  <c r="E279" i="39"/>
  <c r="E280" i="39"/>
  <c r="E281" i="39"/>
  <c r="E282" i="39"/>
  <c r="E278" i="39"/>
  <c r="E277" i="39"/>
  <c r="E276" i="39"/>
  <c r="E275" i="39"/>
  <c r="E274" i="39"/>
  <c r="E267" i="38"/>
  <c r="E266" i="38"/>
  <c r="E265" i="38"/>
  <c r="E264" i="38"/>
  <c r="E262" i="38"/>
  <c r="E261" i="38"/>
  <c r="E260" i="38"/>
  <c r="E259" i="38"/>
  <c r="E259" i="32"/>
  <c r="E260" i="32"/>
  <c r="E261" i="32"/>
  <c r="E258" i="32"/>
  <c r="E368" i="22"/>
  <c r="E369" i="22"/>
  <c r="E370" i="22"/>
  <c r="E371" i="22"/>
  <c r="E367" i="22"/>
  <c r="E366" i="22"/>
  <c r="E363" i="22"/>
  <c r="E364" i="22"/>
  <c r="E365" i="22"/>
  <c r="E362" i="22"/>
  <c r="E332" i="21"/>
  <c r="E333" i="21"/>
  <c r="E334" i="21"/>
  <c r="E335" i="21"/>
  <c r="E331" i="21"/>
  <c r="E327" i="21"/>
  <c r="E328" i="21"/>
  <c r="E329" i="21"/>
  <c r="E330" i="21"/>
  <c r="E326" i="21"/>
  <c r="E297" i="20"/>
  <c r="E298" i="20"/>
  <c r="E295" i="20"/>
  <c r="E299" i="20"/>
  <c r="E301" i="20"/>
  <c r="E302" i="20"/>
  <c r="E303" i="20"/>
  <c r="E304" i="20"/>
  <c r="E300" i="20"/>
  <c r="U13" i="45"/>
  <c r="Y30" i="31"/>
  <c r="G290" i="20"/>
  <c r="Z41" i="20"/>
  <c r="Y41" i="20"/>
  <c r="Z30" i="31"/>
  <c r="AA30" i="31"/>
  <c r="U19" i="45"/>
  <c r="O41" i="49" l="1"/>
  <c r="P41" i="49"/>
  <c r="Y34" i="31" a="1"/>
  <c r="Y34" i="31" s="1"/>
  <c r="Y37" i="31" s="1"/>
  <c r="P28" i="49"/>
  <c r="O28" i="49"/>
  <c r="Y38" i="49" s="1" a="1"/>
  <c r="Y38" i="49" s="1"/>
  <c r="U21" i="45"/>
  <c r="U20" i="47" a="1"/>
  <c r="U20" i="47" s="1"/>
  <c r="T38" i="45" a="1"/>
  <c r="T38" i="45" s="1"/>
  <c r="U20" i="45"/>
  <c r="T16" i="45" a="1"/>
  <c r="T16" i="45" s="1"/>
  <c r="O42" i="51"/>
  <c r="H114" i="51" s="1"/>
  <c r="P42" i="51"/>
  <c r="H113" i="51" s="1"/>
  <c r="H115" i="51" s="1"/>
  <c r="H116" i="51" s="1"/>
  <c r="P42" i="50"/>
  <c r="H113" i="50" s="1"/>
  <c r="O42" i="50"/>
  <c r="H114" i="50" s="1"/>
  <c r="AB130" i="20"/>
  <c r="AA130" i="20"/>
  <c r="Z130" i="20"/>
  <c r="AB129" i="20"/>
  <c r="AA129" i="20"/>
  <c r="Z129" i="20"/>
  <c r="AB128" i="20"/>
  <c r="AA128" i="20"/>
  <c r="Z128" i="20"/>
  <c r="AB168" i="21"/>
  <c r="AA168" i="21"/>
  <c r="Z168" i="21"/>
  <c r="AB167" i="21"/>
  <c r="AA167" i="21"/>
  <c r="Z167" i="21"/>
  <c r="AB166" i="21"/>
  <c r="AA166" i="21"/>
  <c r="H263" i="21" s="1"/>
  <c r="Z166" i="21"/>
  <c r="AB178" i="22"/>
  <c r="AA178" i="22"/>
  <c r="Z178" i="22"/>
  <c r="AB177" i="22"/>
  <c r="AA177" i="22"/>
  <c r="Z177" i="22"/>
  <c r="AB176" i="22"/>
  <c r="AA176" i="22"/>
  <c r="Z176" i="22"/>
  <c r="AB130" i="32"/>
  <c r="AA130" i="32"/>
  <c r="Z130" i="32"/>
  <c r="AB129" i="32"/>
  <c r="AA129" i="32"/>
  <c r="Z129" i="32"/>
  <c r="AB128" i="32"/>
  <c r="AA128" i="32"/>
  <c r="Z128" i="32"/>
  <c r="AB130" i="38"/>
  <c r="AA130" i="38"/>
  <c r="Z130" i="38"/>
  <c r="AB129" i="38"/>
  <c r="AA129" i="38"/>
  <c r="Z129" i="38"/>
  <c r="AB128" i="38"/>
  <c r="AA128" i="38"/>
  <c r="Z128" i="38"/>
  <c r="AB139" i="39"/>
  <c r="AA139" i="39"/>
  <c r="Z139" i="39"/>
  <c r="AB138" i="39"/>
  <c r="AA138" i="39"/>
  <c r="Z138" i="39"/>
  <c r="AB137" i="39"/>
  <c r="AA137" i="39"/>
  <c r="Z137" i="39"/>
  <c r="AB149" i="40"/>
  <c r="AA149" i="40"/>
  <c r="Z149" i="40"/>
  <c r="AB148" i="40"/>
  <c r="AA148" i="40"/>
  <c r="Z148" i="40"/>
  <c r="AB147" i="40"/>
  <c r="AA147" i="40"/>
  <c r="Z147" i="40"/>
  <c r="AB149" i="41"/>
  <c r="AB150" i="41"/>
  <c r="AB148" i="41"/>
  <c r="AK71" i="41"/>
  <c r="AF70" i="41"/>
  <c r="AA70" i="41" s="1"/>
  <c r="AC70" i="41"/>
  <c r="Z70" i="41"/>
  <c r="Y70" i="41"/>
  <c r="H247" i="41" s="1"/>
  <c r="O70" i="41"/>
  <c r="AF69" i="41"/>
  <c r="AA69" i="41" s="1"/>
  <c r="AC69" i="41"/>
  <c r="Z69" i="41"/>
  <c r="Y69" i="41"/>
  <c r="H246" i="41" s="1"/>
  <c r="O69" i="41"/>
  <c r="AF68" i="41"/>
  <c r="AA68" i="41" s="1"/>
  <c r="AC68" i="41"/>
  <c r="Z68" i="41"/>
  <c r="Y68" i="41"/>
  <c r="H245" i="41" s="1"/>
  <c r="O68" i="41"/>
  <c r="G247" i="41"/>
  <c r="G246" i="41"/>
  <c r="Z38" i="49" l="1" a="1"/>
  <c r="Z38" i="49" s="1"/>
  <c r="AC38" i="49"/>
  <c r="H115" i="50"/>
  <c r="H116" i="50" s="1"/>
  <c r="O32" i="49"/>
  <c r="P32" i="49"/>
  <c r="H111" i="49" s="1"/>
  <c r="F6" i="45"/>
  <c r="H203" i="39"/>
  <c r="AB70" i="41"/>
  <c r="AD70" i="41" s="1"/>
  <c r="I247" i="41" s="1"/>
  <c r="AB69" i="41"/>
  <c r="AD69" i="41" s="1"/>
  <c r="I246" i="41" s="1"/>
  <c r="O71" i="41"/>
  <c r="AI71" i="41" s="1"/>
  <c r="AB68" i="41"/>
  <c r="AD68" i="41" s="1"/>
  <c r="I245" i="41" s="1"/>
  <c r="AK70" i="40"/>
  <c r="AF69" i="40"/>
  <c r="AA69" i="40" s="1"/>
  <c r="AC69" i="40"/>
  <c r="Z69" i="40"/>
  <c r="Y69" i="40"/>
  <c r="H244" i="40" s="1"/>
  <c r="O69" i="40"/>
  <c r="AF68" i="40"/>
  <c r="AA68" i="40" s="1"/>
  <c r="AC68" i="40"/>
  <c r="Z68" i="40"/>
  <c r="Y68" i="40"/>
  <c r="H243" i="40" s="1"/>
  <c r="O68" i="40"/>
  <c r="AF67" i="40"/>
  <c r="AA67" i="40" s="1"/>
  <c r="AC67" i="40"/>
  <c r="Z67" i="40"/>
  <c r="Y67" i="40"/>
  <c r="H242" i="40" s="1"/>
  <c r="O67" i="40"/>
  <c r="G244" i="40"/>
  <c r="G243" i="40"/>
  <c r="G266" i="39"/>
  <c r="G265" i="39"/>
  <c r="AK72" i="39"/>
  <c r="AF71" i="39"/>
  <c r="AA71" i="39" s="1"/>
  <c r="AC71" i="39"/>
  <c r="Z71" i="39"/>
  <c r="Y71" i="39"/>
  <c r="H266" i="39" s="1"/>
  <c r="O71" i="39"/>
  <c r="AF70" i="39"/>
  <c r="AA70" i="39" s="1"/>
  <c r="AC70" i="39"/>
  <c r="Z70" i="39"/>
  <c r="Y70" i="39"/>
  <c r="H265" i="39" s="1"/>
  <c r="O70" i="39"/>
  <c r="AF69" i="39"/>
  <c r="AA69" i="39" s="1"/>
  <c r="AC69" i="39"/>
  <c r="Z69" i="39"/>
  <c r="Y69" i="39"/>
  <c r="H264" i="39" s="1"/>
  <c r="O69" i="39"/>
  <c r="G247" i="38"/>
  <c r="G246" i="38"/>
  <c r="AK71" i="38"/>
  <c r="AF70" i="38"/>
  <c r="AA70" i="38" s="1"/>
  <c r="AC70" i="38"/>
  <c r="Z70" i="38"/>
  <c r="Y70" i="38"/>
  <c r="H247" i="38" s="1"/>
  <c r="O70" i="38"/>
  <c r="AF69" i="38"/>
  <c r="AA69" i="38" s="1"/>
  <c r="AC69" i="38"/>
  <c r="Z69" i="38"/>
  <c r="Y69" i="38"/>
  <c r="H246" i="38" s="1"/>
  <c r="O69" i="38"/>
  <c r="AF68" i="38"/>
  <c r="AA68" i="38" s="1"/>
  <c r="AC68" i="38"/>
  <c r="Z68" i="38"/>
  <c r="Y68" i="38"/>
  <c r="H245" i="38" s="1"/>
  <c r="O68" i="38"/>
  <c r="AK71" i="32"/>
  <c r="AF70" i="32"/>
  <c r="AA70" i="32" s="1"/>
  <c r="AC70" i="32"/>
  <c r="Z70" i="32"/>
  <c r="Y70" i="32"/>
  <c r="O70" i="32"/>
  <c r="AF69" i="32"/>
  <c r="AA69" i="32" s="1"/>
  <c r="AC69" i="32"/>
  <c r="Z69" i="32"/>
  <c r="Y69" i="32"/>
  <c r="O69" i="32"/>
  <c r="AF68" i="32"/>
  <c r="AA68" i="32" s="1"/>
  <c r="AC68" i="32"/>
  <c r="Z68" i="32"/>
  <c r="Y68" i="32"/>
  <c r="H244" i="32" s="1"/>
  <c r="AK72" i="22"/>
  <c r="AF71" i="22"/>
  <c r="AA71" i="22" s="1"/>
  <c r="AC71" i="22"/>
  <c r="Z71" i="22"/>
  <c r="Y71" i="22"/>
  <c r="H298" i="22" s="1"/>
  <c r="O71" i="22"/>
  <c r="AF70" i="22"/>
  <c r="AA70" i="22" s="1"/>
  <c r="AC70" i="22"/>
  <c r="Z70" i="22"/>
  <c r="Y70" i="22"/>
  <c r="H297" i="22" s="1"/>
  <c r="O70" i="22"/>
  <c r="AF69" i="22"/>
  <c r="AA69" i="22" s="1"/>
  <c r="AC69" i="22"/>
  <c r="Z69" i="22"/>
  <c r="Y69" i="22"/>
  <c r="H296" i="22" s="1"/>
  <c r="H229" i="21"/>
  <c r="H230" i="21"/>
  <c r="H232" i="21"/>
  <c r="H233" i="21" a="1"/>
  <c r="H233" i="21" s="1"/>
  <c r="H235" i="21"/>
  <c r="H236" i="21"/>
  <c r="H237" i="21"/>
  <c r="H238" i="21"/>
  <c r="H239" i="21"/>
  <c r="G253" i="21"/>
  <c r="G254" i="21"/>
  <c r="G255" i="21"/>
  <c r="G257" i="21"/>
  <c r="G258" i="21"/>
  <c r="H258" i="21"/>
  <c r="G259" i="21"/>
  <c r="H259" i="21"/>
  <c r="H260" i="21"/>
  <c r="H261" i="21"/>
  <c r="H262" i="21"/>
  <c r="H264" i="21"/>
  <c r="G264" i="21"/>
  <c r="G267" i="21"/>
  <c r="G268" i="21"/>
  <c r="G269" i="21"/>
  <c r="G270" i="21"/>
  <c r="H275" i="21"/>
  <c r="H276" i="21"/>
  <c r="H278" i="21"/>
  <c r="G280" i="21"/>
  <c r="G284" i="21"/>
  <c r="H285" i="21"/>
  <c r="H289" i="21"/>
  <c r="H290" i="21"/>
  <c r="H291" i="21"/>
  <c r="H298" i="21"/>
  <c r="AK73" i="21"/>
  <c r="AF72" i="21"/>
  <c r="AA72" i="21" s="1"/>
  <c r="AC72" i="21"/>
  <c r="Z72" i="21"/>
  <c r="Y72" i="21"/>
  <c r="O72" i="21"/>
  <c r="AF71" i="21"/>
  <c r="AA71" i="21" s="1"/>
  <c r="AC71" i="21"/>
  <c r="Z71" i="21"/>
  <c r="Y71" i="21"/>
  <c r="O71" i="21"/>
  <c r="AF70" i="21"/>
  <c r="AA70" i="21" s="1"/>
  <c r="AC70" i="21"/>
  <c r="Z70" i="21"/>
  <c r="Y70" i="21"/>
  <c r="H257" i="21" s="1"/>
  <c r="AC70" i="20"/>
  <c r="AC69" i="20"/>
  <c r="AC68" i="20"/>
  <c r="AF69" i="20"/>
  <c r="AA69" i="20" s="1"/>
  <c r="AF70" i="20"/>
  <c r="AA70" i="20" s="1"/>
  <c r="AF68" i="20"/>
  <c r="AA68" i="20" s="1"/>
  <c r="Z69" i="20"/>
  <c r="Z70" i="20"/>
  <c r="Z68" i="20"/>
  <c r="X51" i="34"/>
  <c r="D211" i="3"/>
  <c r="D212" i="3"/>
  <c r="D213" i="3"/>
  <c r="D214" i="3"/>
  <c r="D215" i="3"/>
  <c r="D216" i="3"/>
  <c r="D217" i="3"/>
  <c r="D210" i="3"/>
  <c r="O38" i="49" l="1"/>
  <c r="O42" i="49" s="1"/>
  <c r="H114" i="49" s="1"/>
  <c r="P38" i="49"/>
  <c r="P42" i="49" s="1"/>
  <c r="H113" i="49" s="1"/>
  <c r="H293" i="41"/>
  <c r="H206" i="41" s="1"/>
  <c r="H290" i="40"/>
  <c r="H203" i="40" s="1"/>
  <c r="AB70" i="38"/>
  <c r="AD70" i="38" s="1"/>
  <c r="I247" i="38" s="1"/>
  <c r="AB71" i="39"/>
  <c r="AD71" i="39" s="1"/>
  <c r="I266" i="39" s="1"/>
  <c r="AB68" i="38"/>
  <c r="AD68" i="38" s="1"/>
  <c r="I245" i="38" s="1"/>
  <c r="AB69" i="40"/>
  <c r="AD69" i="40" s="1"/>
  <c r="I244" i="40" s="1"/>
  <c r="AB71" i="21"/>
  <c r="AD71" i="21" s="1"/>
  <c r="I258" i="21" s="1"/>
  <c r="AB69" i="22"/>
  <c r="AD69" i="22" s="1"/>
  <c r="AB70" i="21"/>
  <c r="AD70" i="21" s="1"/>
  <c r="I257" i="21" s="1"/>
  <c r="O72" i="39"/>
  <c r="AI72" i="39" s="1"/>
  <c r="AB68" i="32"/>
  <c r="AD68" i="32" s="1"/>
  <c r="I244" i="32" s="1"/>
  <c r="AB69" i="39"/>
  <c r="AD69" i="39" s="1"/>
  <c r="I264" i="39" s="1"/>
  <c r="AB69" i="32"/>
  <c r="AD69" i="32" s="1"/>
  <c r="AB69" i="38"/>
  <c r="AD69" i="38" s="1"/>
  <c r="I246" i="38" s="1"/>
  <c r="AB70" i="32"/>
  <c r="AD70" i="32" s="1"/>
  <c r="AB67" i="40"/>
  <c r="AD67" i="40" s="1"/>
  <c r="I242" i="40" s="1"/>
  <c r="AB70" i="22"/>
  <c r="AD70" i="22" s="1"/>
  <c r="I297" i="22" s="1"/>
  <c r="AB70" i="39"/>
  <c r="AD70" i="39" s="1"/>
  <c r="I265" i="39" s="1"/>
  <c r="AB68" i="40"/>
  <c r="AD68" i="40" s="1"/>
  <c r="I243" i="40" s="1"/>
  <c r="AB71" i="22"/>
  <c r="AD71" i="22" s="1"/>
  <c r="I298" i="22" s="1"/>
  <c r="O70" i="40"/>
  <c r="AI70" i="40" s="1"/>
  <c r="AB72" i="21"/>
  <c r="AD72" i="21" s="1"/>
  <c r="I259" i="21" s="1"/>
  <c r="O71" i="38"/>
  <c r="AI71" i="38" s="1"/>
  <c r="AB68" i="20"/>
  <c r="AD68" i="20" s="1"/>
  <c r="AB70" i="20"/>
  <c r="AB69" i="20"/>
  <c r="U8" i="45"/>
  <c r="C16" i="45" s="1"/>
  <c r="U7" i="45"/>
  <c r="C7" i="45"/>
  <c r="C65" i="34"/>
  <c r="C67" i="34"/>
  <c r="C66" i="34"/>
  <c r="O111" i="41"/>
  <c r="O110" i="41"/>
  <c r="O109" i="41"/>
  <c r="O108" i="41"/>
  <c r="O107" i="41"/>
  <c r="O106" i="41"/>
  <c r="O111" i="40"/>
  <c r="O110" i="40"/>
  <c r="O109" i="40"/>
  <c r="O108" i="40"/>
  <c r="O107" i="40"/>
  <c r="O106" i="40"/>
  <c r="O105" i="40"/>
  <c r="O113" i="39"/>
  <c r="O112" i="39"/>
  <c r="O111" i="39"/>
  <c r="O110" i="39"/>
  <c r="O109" i="39"/>
  <c r="O108" i="39"/>
  <c r="O107" i="39"/>
  <c r="O104" i="38"/>
  <c r="O103" i="38"/>
  <c r="O102" i="38"/>
  <c r="O101" i="38"/>
  <c r="O100" i="38"/>
  <c r="O99" i="38"/>
  <c r="O98" i="38"/>
  <c r="O104" i="32"/>
  <c r="O103" i="32"/>
  <c r="O102" i="32"/>
  <c r="O101" i="32"/>
  <c r="O100" i="32"/>
  <c r="O99" i="32"/>
  <c r="O98" i="32"/>
  <c r="O112" i="22"/>
  <c r="O111" i="22"/>
  <c r="O110" i="22"/>
  <c r="O109" i="22"/>
  <c r="O108" i="22"/>
  <c r="O107" i="22"/>
  <c r="O106" i="22"/>
  <c r="O113" i="21"/>
  <c r="O112" i="21"/>
  <c r="O111" i="21"/>
  <c r="O110" i="21"/>
  <c r="Y107" i="21"/>
  <c r="AA107" i="21"/>
  <c r="AB107" i="21"/>
  <c r="Y108" i="21"/>
  <c r="AA108" i="21"/>
  <c r="AB108" i="21"/>
  <c r="Y109" i="21"/>
  <c r="AA109" i="21"/>
  <c r="AB109" i="21"/>
  <c r="Y110" i="21"/>
  <c r="AA110" i="21"/>
  <c r="AB110" i="21"/>
  <c r="Y111" i="21"/>
  <c r="AA111" i="21"/>
  <c r="AB111" i="21"/>
  <c r="Y112" i="21"/>
  <c r="AA112" i="21"/>
  <c r="AB112" i="21"/>
  <c r="Y113" i="21"/>
  <c r="AA113" i="21"/>
  <c r="AB113" i="21"/>
  <c r="AK114" i="21"/>
  <c r="O104" i="20"/>
  <c r="O103" i="20"/>
  <c r="O102" i="20"/>
  <c r="O101" i="20"/>
  <c r="O100" i="20"/>
  <c r="G269" i="40"/>
  <c r="AB87" i="40" a="1"/>
  <c r="AB87" i="40" s="1"/>
  <c r="H269" i="40" s="1"/>
  <c r="AA87" i="40" a="1"/>
  <c r="AA87" i="40" s="1"/>
  <c r="Z87" i="40"/>
  <c r="H115" i="49" l="1"/>
  <c r="AD69" i="20"/>
  <c r="I228" i="20" s="1"/>
  <c r="AD70" i="20"/>
  <c r="I229" i="20" s="1"/>
  <c r="I227" i="20"/>
  <c r="I296" i="22"/>
  <c r="O69" i="22"/>
  <c r="O72" i="22" s="1"/>
  <c r="AI72" i="22" s="1"/>
  <c r="O68" i="32"/>
  <c r="O71" i="32" s="1"/>
  <c r="AI71" i="32" s="1"/>
  <c r="G67" i="34"/>
  <c r="O70" i="21"/>
  <c r="O73" i="21" s="1"/>
  <c r="AI73" i="21" s="1"/>
  <c r="AC109" i="21"/>
  <c r="O109" i="21" s="1"/>
  <c r="AC110" i="21"/>
  <c r="AC108" i="21"/>
  <c r="AC113" i="21"/>
  <c r="AC112" i="21"/>
  <c r="AC107" i="21"/>
  <c r="AC111" i="21"/>
  <c r="Z111" i="21"/>
  <c r="Z107" i="21"/>
  <c r="Z112" i="21"/>
  <c r="Z109" i="21"/>
  <c r="Z108" i="21"/>
  <c r="Z113" i="21"/>
  <c r="Z110" i="21"/>
  <c r="N87" i="40"/>
  <c r="N88" i="40" s="1"/>
  <c r="AH88" i="40" s="1"/>
  <c r="Z89" i="39"/>
  <c r="O89" i="39" s="1"/>
  <c r="C147" i="3"/>
  <c r="H265" i="40"/>
  <c r="H266" i="40"/>
  <c r="H268" i="40"/>
  <c r="H272" i="41"/>
  <c r="H270" i="41"/>
  <c r="H269" i="41"/>
  <c r="G86" i="3"/>
  <c r="O108" i="21" l="1"/>
  <c r="O107" i="21"/>
  <c r="H259" i="40"/>
  <c r="H258" i="40"/>
  <c r="H257" i="40"/>
  <c r="G268" i="41"/>
  <c r="F199" i="42"/>
  <c r="E199" i="42"/>
  <c r="D199" i="42"/>
  <c r="F169" i="42"/>
  <c r="E169" i="42"/>
  <c r="D169" i="42"/>
  <c r="F127" i="42"/>
  <c r="E127" i="42"/>
  <c r="D127" i="42"/>
  <c r="F124" i="42"/>
  <c r="E124" i="42"/>
  <c r="D124" i="42"/>
  <c r="F96" i="42"/>
  <c r="E96" i="42"/>
  <c r="F88" i="42"/>
  <c r="E88" i="42"/>
  <c r="F62" i="42"/>
  <c r="E62" i="42"/>
  <c r="D62" i="42"/>
  <c r="F42" i="42"/>
  <c r="E42" i="42"/>
  <c r="D42" i="42"/>
  <c r="D147" i="43"/>
  <c r="F139" i="44"/>
  <c r="E139" i="44"/>
  <c r="D139" i="44"/>
  <c r="F136" i="44"/>
  <c r="E136" i="44"/>
  <c r="D136" i="44"/>
  <c r="F133" i="44"/>
  <c r="E133" i="44"/>
  <c r="D133" i="44"/>
  <c r="F118" i="44"/>
  <c r="E118" i="44"/>
  <c r="D118" i="44"/>
  <c r="F115" i="44"/>
  <c r="E115" i="44"/>
  <c r="D115" i="44"/>
  <c r="F87" i="44"/>
  <c r="E87" i="44"/>
  <c r="D87" i="44"/>
  <c r="F79" i="44"/>
  <c r="E79" i="44"/>
  <c r="D79" i="44"/>
  <c r="N4" i="44" a="1"/>
  <c r="N4" i="44" s="1"/>
  <c r="L4" i="44" s="1"/>
  <c r="F120" i="43"/>
  <c r="F123" i="43"/>
  <c r="F155" i="43"/>
  <c r="E155" i="43"/>
  <c r="D155" i="43"/>
  <c r="F151" i="43"/>
  <c r="E151" i="43"/>
  <c r="D151" i="43"/>
  <c r="F147" i="43"/>
  <c r="E147" i="43"/>
  <c r="E123" i="43"/>
  <c r="D123" i="43"/>
  <c r="E120" i="43"/>
  <c r="D120" i="43"/>
  <c r="F92" i="43"/>
  <c r="E92" i="43"/>
  <c r="F84" i="43"/>
  <c r="E84" i="43"/>
  <c r="L4" i="43" a="1"/>
  <c r="L4" i="43" s="1"/>
  <c r="J4" i="43" s="1"/>
  <c r="G263" i="39"/>
  <c r="G264" i="39"/>
  <c r="G261" i="39"/>
  <c r="G262" i="39"/>
  <c r="G260" i="39"/>
  <c r="H244" i="38"/>
  <c r="G244" i="38"/>
  <c r="G245" i="38"/>
  <c r="G242" i="38"/>
  <c r="G243" i="38"/>
  <c r="G241" i="38"/>
  <c r="G243" i="32"/>
  <c r="G246" i="32"/>
  <c r="G245" i="32"/>
  <c r="G244" i="32"/>
  <c r="G242" i="32"/>
  <c r="G241" i="32"/>
  <c r="G240" i="32"/>
  <c r="AB88" i="41" a="1"/>
  <c r="AB88" i="41" s="1"/>
  <c r="H268" i="41" s="1"/>
  <c r="AA88" i="41" a="1"/>
  <c r="AA88" i="41" s="1"/>
  <c r="Z88" i="41"/>
  <c r="Y88" i="41"/>
  <c r="G244" i="41"/>
  <c r="G241" i="40"/>
  <c r="G295" i="22"/>
  <c r="F76" i="43"/>
  <c r="F67" i="43"/>
  <c r="F65" i="44"/>
  <c r="F62" i="44"/>
  <c r="F51" i="44"/>
  <c r="F61" i="44"/>
  <c r="E61" i="44"/>
  <c r="F75" i="43"/>
  <c r="D51" i="44"/>
  <c r="F70" i="44"/>
  <c r="D20" i="44"/>
  <c r="F70" i="43"/>
  <c r="F71" i="44"/>
  <c r="F64" i="44"/>
  <c r="F69" i="43"/>
  <c r="F20" i="44"/>
  <c r="E20" i="44"/>
  <c r="F68" i="44"/>
  <c r="F73" i="43"/>
  <c r="F72" i="43"/>
  <c r="E51" i="44"/>
  <c r="F67" i="44"/>
  <c r="F20" i="43"/>
  <c r="E20" i="43"/>
  <c r="F66" i="43"/>
  <c r="O114" i="21" l="1"/>
  <c r="AI114" i="21" s="1"/>
  <c r="I268" i="41"/>
  <c r="O88" i="41"/>
  <c r="O89" i="41" s="1"/>
  <c r="AI89" i="41" s="1"/>
  <c r="N88" i="41"/>
  <c r="N89" i="41" s="1"/>
  <c r="AH89" i="41" s="1"/>
  <c r="F55" i="43"/>
  <c r="M6" i="42" l="1" a="1"/>
  <c r="M6" i="42" s="1"/>
  <c r="L5" i="42" s="1"/>
  <c r="G319" i="22"/>
  <c r="G320" i="22"/>
  <c r="G318" i="22"/>
  <c r="G293" i="22"/>
  <c r="G294" i="22"/>
  <c r="G292" i="22"/>
  <c r="G297" i="22"/>
  <c r="G298" i="22"/>
  <c r="G296" i="22"/>
  <c r="G308" i="22"/>
  <c r="G305" i="22"/>
  <c r="G306" i="22"/>
  <c r="G307" i="22"/>
  <c r="G304" i="22"/>
  <c r="G238" i="39"/>
  <c r="G239" i="39"/>
  <c r="G240" i="39"/>
  <c r="G241" i="39"/>
  <c r="G237" i="39"/>
  <c r="Y175" i="41"/>
  <c r="O175" i="41" s="1"/>
  <c r="Y173" i="40"/>
  <c r="O173" i="40" s="1"/>
  <c r="Y170" i="39"/>
  <c r="O170" i="39" s="1"/>
  <c r="Y156" i="38"/>
  <c r="O156" i="38" s="1"/>
  <c r="Y155" i="32"/>
  <c r="O155" i="32" s="1"/>
  <c r="Y154" i="20"/>
  <c r="O154" i="20" s="1"/>
  <c r="O155" i="20" s="1"/>
  <c r="H310" i="20" s="1"/>
  <c r="AA89" i="21"/>
  <c r="AE35" i="41"/>
  <c r="AE34" i="41"/>
  <c r="AE33" i="41"/>
  <c r="AE34" i="40"/>
  <c r="AE33" i="40"/>
  <c r="AE32" i="40"/>
  <c r="AE36" i="39"/>
  <c r="AE35" i="39"/>
  <c r="AE34" i="39"/>
  <c r="AE35" i="38"/>
  <c r="AE34" i="38"/>
  <c r="AE33" i="38"/>
  <c r="AE33" i="32"/>
  <c r="AE35" i="32"/>
  <c r="AE34" i="32"/>
  <c r="AE36" i="22"/>
  <c r="AE35" i="22"/>
  <c r="AE34" i="22"/>
  <c r="AE36" i="21"/>
  <c r="AE35" i="21"/>
  <c r="AE34" i="21"/>
  <c r="AE34" i="20"/>
  <c r="Y224" i="22"/>
  <c r="O224" i="22" s="1"/>
  <c r="Y185" i="21"/>
  <c r="O185" i="21"/>
  <c r="O186" i="21" s="1"/>
  <c r="H342" i="21" s="1"/>
  <c r="G342" i="21" s="1"/>
  <c r="I257" i="39"/>
  <c r="G236" i="39"/>
  <c r="G235" i="39"/>
  <c r="H222" i="39"/>
  <c r="H221" i="39"/>
  <c r="H220" i="39"/>
  <c r="H219" i="39"/>
  <c r="H218" i="39"/>
  <c r="H216" i="39"/>
  <c r="H214" i="39"/>
  <c r="H213" i="39"/>
  <c r="H200" i="38"/>
  <c r="H201" i="38"/>
  <c r="H203" i="38"/>
  <c r="H205" i="38"/>
  <c r="H206" i="38"/>
  <c r="H207" i="38"/>
  <c r="H208" i="38"/>
  <c r="H209" i="38"/>
  <c r="G222" i="38"/>
  <c r="G223" i="38"/>
  <c r="G224" i="38"/>
  <c r="G225" i="38"/>
  <c r="G226" i="38"/>
  <c r="G227" i="38"/>
  <c r="G228" i="38"/>
  <c r="H262" i="41"/>
  <c r="H261" i="41"/>
  <c r="H260" i="41"/>
  <c r="G245" i="41"/>
  <c r="G243" i="41"/>
  <c r="G242" i="41"/>
  <c r="G241" i="41"/>
  <c r="G240" i="41"/>
  <c r="G239" i="41"/>
  <c r="G238" i="41"/>
  <c r="G237" i="41"/>
  <c r="G236" i="41"/>
  <c r="G235" i="41"/>
  <c r="G234" i="41"/>
  <c r="H221" i="41"/>
  <c r="H220" i="41"/>
  <c r="H219" i="41"/>
  <c r="H218" i="41"/>
  <c r="H217" i="41"/>
  <c r="G242" i="40"/>
  <c r="G240" i="40"/>
  <c r="G239" i="40"/>
  <c r="G238" i="40"/>
  <c r="G237" i="40"/>
  <c r="G236" i="40"/>
  <c r="G235" i="40"/>
  <c r="G234" i="40"/>
  <c r="G233" i="40"/>
  <c r="G232" i="40"/>
  <c r="G231" i="40"/>
  <c r="H218" i="40"/>
  <c r="H217" i="40"/>
  <c r="H216" i="40"/>
  <c r="H215" i="40"/>
  <c r="H214" i="40"/>
  <c r="Z156" i="40"/>
  <c r="AB156" i="40"/>
  <c r="H251" i="40" s="1"/>
  <c r="Y156" i="40"/>
  <c r="H252" i="40" s="1"/>
  <c r="E88" i="39"/>
  <c r="G257" i="39" s="1"/>
  <c r="E89" i="39"/>
  <c r="G258" i="39" s="1"/>
  <c r="AA153" i="39"/>
  <c r="I254" i="39" s="1"/>
  <c r="Y153" i="39"/>
  <c r="I255" i="39" s="1"/>
  <c r="G227" i="32"/>
  <c r="G226" i="32"/>
  <c r="G225" i="32"/>
  <c r="G224" i="32"/>
  <c r="G223" i="32"/>
  <c r="H208" i="32"/>
  <c r="H207" i="32"/>
  <c r="G222" i="32"/>
  <c r="G221" i="32"/>
  <c r="H206" i="32"/>
  <c r="H205" i="32"/>
  <c r="H204" i="32"/>
  <c r="H202" i="32"/>
  <c r="H200" i="32"/>
  <c r="H199" i="32"/>
  <c r="F59" i="42"/>
  <c r="F77" i="42"/>
  <c r="F76" i="42"/>
  <c r="D59" i="42"/>
  <c r="H214" i="21" l="1"/>
  <c r="O176" i="41"/>
  <c r="H287" i="41"/>
  <c r="H201" i="41" s="1"/>
  <c r="O225" i="22"/>
  <c r="H383" i="22"/>
  <c r="H253" i="22" s="1"/>
  <c r="H183" i="20"/>
  <c r="O171" i="39"/>
  <c r="O156" i="32"/>
  <c r="O174" i="40"/>
  <c r="H288" i="40"/>
  <c r="H198" i="40" s="1"/>
  <c r="Y89" i="39"/>
  <c r="O157" i="38"/>
  <c r="G228" i="20" l="1"/>
  <c r="G227" i="20"/>
  <c r="G223" i="20"/>
  <c r="G222" i="20"/>
  <c r="G239" i="20"/>
  <c r="G238" i="20"/>
  <c r="G237" i="20"/>
  <c r="G236" i="20"/>
  <c r="G235" i="20"/>
  <c r="F288" i="20"/>
  <c r="F287" i="20"/>
  <c r="F286" i="20"/>
  <c r="F285" i="20"/>
  <c r="F284" i="20"/>
  <c r="F283" i="20"/>
  <c r="F282" i="20"/>
  <c r="F281" i="20"/>
  <c r="F280" i="20"/>
  <c r="F279" i="20"/>
  <c r="Y88" i="22"/>
  <c r="Z88" i="22"/>
  <c r="H324" i="22" s="1"/>
  <c r="AA88" i="22"/>
  <c r="I239" i="20" l="1"/>
  <c r="O88" i="22"/>
  <c r="O89" i="22" s="1"/>
  <c r="AI89" i="22" s="1"/>
  <c r="H239" i="20"/>
  <c r="H326" i="22"/>
  <c r="H281" i="38"/>
  <c r="H282" i="38"/>
  <c r="H283" i="38"/>
  <c r="H298" i="39"/>
  <c r="H299" i="39"/>
  <c r="G303" i="22" l="1"/>
  <c r="G302" i="22"/>
  <c r="H276" i="22"/>
  <c r="H275" i="22"/>
  <c r="H274" i="22"/>
  <c r="H272" i="22" a="1"/>
  <c r="H272" i="22" s="1"/>
  <c r="H268" i="22"/>
  <c r="H269" i="22"/>
  <c r="H271" i="22"/>
  <c r="H277" i="22"/>
  <c r="H278" i="22"/>
  <c r="H312" i="22"/>
  <c r="H314" i="22"/>
  <c r="H315" i="22"/>
  <c r="H316" i="22"/>
  <c r="H323" i="22"/>
  <c r="H327" i="22"/>
  <c r="H328" i="22"/>
  <c r="H329" i="22"/>
  <c r="H202" i="20" a="1"/>
  <c r="H202" i="20" s="1"/>
  <c r="G234" i="20"/>
  <c r="G233" i="20"/>
  <c r="T28" i="45" l="1" a="1"/>
  <c r="T28" i="45" s="1"/>
  <c r="U38" i="45" s="1"/>
  <c r="U7" i="47" a="1"/>
  <c r="U7" i="47" s="1"/>
  <c r="C84" i="34"/>
  <c r="C80" i="34"/>
  <c r="AA53" i="21"/>
  <c r="AB53" i="21" s="1"/>
  <c r="H243" i="21" s="1"/>
  <c r="D92" i="42"/>
  <c r="F187" i="42"/>
  <c r="D54" i="42"/>
  <c r="F57" i="42"/>
  <c r="D116" i="44"/>
  <c r="F85" i="44"/>
  <c r="D164" i="43"/>
  <c r="D142" i="43"/>
  <c r="D160" i="42"/>
  <c r="D140" i="42"/>
  <c r="D82" i="44"/>
  <c r="F122" i="42"/>
  <c r="D134" i="44"/>
  <c r="F159" i="42"/>
  <c r="F49" i="44"/>
  <c r="F92" i="42"/>
  <c r="D18" i="44"/>
  <c r="D49" i="44"/>
  <c r="D105" i="43"/>
  <c r="D117" i="44"/>
  <c r="D106" i="42"/>
  <c r="F149" i="42"/>
  <c r="F188" i="42"/>
  <c r="E18" i="43"/>
  <c r="F180" i="42"/>
  <c r="F7" i="44"/>
  <c r="F156" i="43"/>
  <c r="D103" i="44"/>
  <c r="E198" i="42"/>
  <c r="F87" i="43"/>
  <c r="F54" i="42"/>
  <c r="D90" i="42"/>
  <c r="D157" i="43"/>
  <c r="F171" i="42"/>
  <c r="D200" i="42"/>
  <c r="E142" i="42"/>
  <c r="F82" i="43"/>
  <c r="F175" i="42"/>
  <c r="D198" i="42"/>
  <c r="F139" i="42"/>
  <c r="D173" i="42"/>
  <c r="E53" i="44"/>
  <c r="F144" i="42"/>
  <c r="F28" i="42"/>
  <c r="D77" i="44"/>
  <c r="F7" i="43"/>
  <c r="F49" i="43"/>
  <c r="F56" i="43"/>
  <c r="D150" i="42"/>
  <c r="F18" i="42"/>
  <c r="D84" i="44"/>
  <c r="F143" i="43"/>
  <c r="F132" i="44"/>
  <c r="F204" i="42"/>
  <c r="F90" i="42"/>
  <c r="F157" i="43"/>
  <c r="F35" i="43"/>
  <c r="D128" i="42"/>
  <c r="D88" i="44"/>
  <c r="F186" i="42"/>
  <c r="D101" i="43"/>
  <c r="D18" i="42"/>
  <c r="D111" i="43"/>
  <c r="F154" i="44"/>
  <c r="D98" i="44"/>
  <c r="F39" i="44"/>
  <c r="D122" i="42"/>
  <c r="D29" i="42"/>
  <c r="F105" i="43"/>
  <c r="D118" i="43"/>
  <c r="D186" i="42"/>
  <c r="D44" i="42"/>
  <c r="E17" i="44"/>
  <c r="F82" i="44"/>
  <c r="D93" i="42"/>
  <c r="F51" i="43"/>
  <c r="D35" i="44"/>
  <c r="D142" i="42"/>
  <c r="D61" i="42"/>
  <c r="F141" i="43"/>
  <c r="D99" i="44"/>
  <c r="F124" i="43"/>
  <c r="D86" i="42"/>
  <c r="D58" i="42"/>
  <c r="D110" i="43"/>
  <c r="F148" i="42"/>
  <c r="D80" i="44"/>
  <c r="E26" i="44"/>
  <c r="E10" i="44"/>
  <c r="F107" i="44"/>
  <c r="F52" i="43"/>
  <c r="D111" i="42"/>
  <c r="E134" i="44"/>
  <c r="D36" i="42"/>
  <c r="F201" i="42"/>
  <c r="D129" i="43"/>
  <c r="F197" i="42"/>
  <c r="F71" i="42"/>
  <c r="F134" i="44"/>
  <c r="D149" i="44"/>
  <c r="D97" i="42"/>
  <c r="D170" i="42"/>
  <c r="D56" i="42"/>
  <c r="F53" i="44"/>
  <c r="D143" i="43"/>
  <c r="D184" i="42"/>
  <c r="F40" i="44"/>
  <c r="D105" i="42"/>
  <c r="E116" i="44"/>
  <c r="D201" i="42"/>
  <c r="F141" i="42"/>
  <c r="F86" i="42"/>
  <c r="D171" i="42"/>
  <c r="F19" i="42"/>
  <c r="F95" i="42"/>
  <c r="F55" i="42"/>
  <c r="D141" i="43"/>
  <c r="D150" i="44"/>
  <c r="E7" i="43"/>
  <c r="D89" i="44"/>
  <c r="D38" i="42"/>
  <c r="D166" i="42"/>
  <c r="F150" i="44"/>
  <c r="F116" i="44"/>
  <c r="D132" i="44"/>
  <c r="F37" i="43"/>
  <c r="F56" i="42"/>
  <c r="D17" i="42"/>
  <c r="F106" i="44"/>
  <c r="E128" i="42"/>
  <c r="F17" i="43"/>
  <c r="D125" i="42"/>
  <c r="F44" i="42"/>
  <c r="F185" i="42"/>
  <c r="F87" i="42"/>
  <c r="F18" i="44"/>
  <c r="D124" i="43"/>
  <c r="F19" i="43"/>
  <c r="F140" i="44"/>
  <c r="F27" i="43"/>
  <c r="D190" i="42"/>
  <c r="F100" i="44"/>
  <c r="D152" i="44"/>
  <c r="F98" i="42"/>
  <c r="F9" i="42"/>
  <c r="F9" i="44"/>
  <c r="F51" i="42"/>
  <c r="E147" i="44"/>
  <c r="D109" i="42"/>
  <c r="D39" i="44"/>
  <c r="D122" i="44"/>
  <c r="F137" i="44"/>
  <c r="D129" i="42"/>
  <c r="F53" i="43"/>
  <c r="F26" i="44"/>
  <c r="F142" i="43"/>
  <c r="F50" i="42"/>
  <c r="F181" i="42"/>
  <c r="F22" i="42"/>
  <c r="D116" i="42"/>
  <c r="D28" i="42"/>
  <c r="D130" i="44"/>
  <c r="D153" i="44"/>
  <c r="F88" i="44"/>
  <c r="E105" i="43"/>
  <c r="F109" i="43"/>
  <c r="F38" i="44"/>
  <c r="F26" i="43"/>
  <c r="F39" i="42"/>
  <c r="D27" i="44"/>
  <c r="F89" i="44"/>
  <c r="D128" i="43"/>
  <c r="F8" i="44"/>
  <c r="E113" i="44"/>
  <c r="D152" i="43"/>
  <c r="F93" i="43"/>
  <c r="F166" i="42"/>
  <c r="F43" i="42"/>
  <c r="D167" i="42"/>
  <c r="D41" i="44"/>
  <c r="D104" i="44"/>
  <c r="F150" i="42"/>
  <c r="D125" i="43"/>
  <c r="F148" i="44"/>
  <c r="E107" i="44"/>
  <c r="D123" i="42"/>
  <c r="F70" i="42"/>
  <c r="F50" i="43"/>
  <c r="F151" i="44"/>
  <c r="D102" i="43"/>
  <c r="F150" i="43"/>
  <c r="D141" i="44"/>
  <c r="F183" i="42"/>
  <c r="D174" i="42"/>
  <c r="F119" i="44"/>
  <c r="D140" i="44"/>
  <c r="D8" i="42"/>
  <c r="D105" i="44"/>
  <c r="F152" i="43"/>
  <c r="D55" i="42"/>
  <c r="D52" i="44"/>
  <c r="D121" i="43"/>
  <c r="E17" i="43"/>
  <c r="E158" i="43"/>
  <c r="D113" i="44"/>
  <c r="D182" i="42"/>
  <c r="D141" i="42"/>
  <c r="D189" i="42"/>
  <c r="D85" i="44"/>
  <c r="F118" i="43"/>
  <c r="D122" i="43"/>
  <c r="F55" i="44"/>
  <c r="F141" i="44"/>
  <c r="F105" i="44"/>
  <c r="D158" i="42"/>
  <c r="F10" i="44"/>
  <c r="E104" i="42"/>
  <c r="D203" i="42"/>
  <c r="D132" i="42"/>
  <c r="G147" i="44"/>
  <c r="D196" i="42"/>
  <c r="F58" i="42"/>
  <c r="D127" i="43"/>
  <c r="F172" i="42"/>
  <c r="D9" i="42"/>
  <c r="F59" i="43"/>
  <c r="D63" i="42"/>
  <c r="F10" i="42"/>
  <c r="D16" i="44"/>
  <c r="D86" i="44"/>
  <c r="F40" i="43"/>
  <c r="F48" i="43"/>
  <c r="D19" i="44"/>
  <c r="F17" i="44"/>
  <c r="D145" i="42"/>
  <c r="D50" i="42"/>
  <c r="F37" i="42"/>
  <c r="F89" i="43"/>
  <c r="D40" i="42"/>
  <c r="F170" i="42"/>
  <c r="F100" i="43"/>
  <c r="F176" i="42"/>
  <c r="F34" i="43"/>
  <c r="F52" i="42"/>
  <c r="D114" i="42"/>
  <c r="D107" i="43"/>
  <c r="D147" i="42"/>
  <c r="D146" i="43"/>
  <c r="F39" i="43"/>
  <c r="F9" i="43"/>
  <c r="D152" i="42"/>
  <c r="D115" i="42"/>
  <c r="D160" i="44"/>
  <c r="F83" i="43"/>
  <c r="F74" i="42"/>
  <c r="F146" i="42"/>
  <c r="F143" i="42"/>
  <c r="D100" i="44"/>
  <c r="F84" i="44"/>
  <c r="D145" i="43"/>
  <c r="D47" i="44"/>
  <c r="F104" i="44"/>
  <c r="D130" i="42"/>
  <c r="F64" i="42"/>
  <c r="D107" i="44"/>
  <c r="F189" i="42"/>
  <c r="D147" i="44"/>
  <c r="D114" i="44"/>
  <c r="F89" i="42"/>
  <c r="D202" i="42"/>
  <c r="F148" i="43"/>
  <c r="E10" i="43"/>
  <c r="F36" i="44"/>
  <c r="F47" i="44"/>
  <c r="F135" i="44"/>
  <c r="E109" i="43"/>
  <c r="D37" i="44"/>
  <c r="F138" i="44"/>
  <c r="F27" i="44"/>
  <c r="F35" i="44"/>
  <c r="F130" i="44"/>
  <c r="F147" i="44"/>
  <c r="D78" i="44"/>
  <c r="F94" i="42"/>
  <c r="D121" i="44"/>
  <c r="F16" i="43"/>
  <c r="E135" i="44"/>
  <c r="E103" i="44"/>
  <c r="D108" i="43"/>
  <c r="D106" i="43"/>
  <c r="F34" i="44"/>
  <c r="D133" i="42"/>
  <c r="D178" i="42"/>
  <c r="F85" i="43"/>
  <c r="D106" i="44"/>
  <c r="E7" i="44"/>
  <c r="D150" i="43"/>
  <c r="F104" i="42"/>
  <c r="E19" i="43"/>
  <c r="D95" i="42"/>
  <c r="F11" i="42"/>
  <c r="D108" i="42"/>
  <c r="F174" i="42"/>
  <c r="F95" i="44"/>
  <c r="D153" i="43"/>
  <c r="D158" i="43"/>
  <c r="F36" i="43"/>
  <c r="D20" i="42"/>
  <c r="E109" i="42"/>
  <c r="D89" i="42"/>
  <c r="D197" i="42"/>
  <c r="D53" i="42"/>
  <c r="F41" i="43"/>
  <c r="D143" i="42"/>
  <c r="D175" i="42"/>
  <c r="F190" i="42"/>
  <c r="D172" i="42"/>
  <c r="E100" i="43"/>
  <c r="E27" i="43"/>
  <c r="E118" i="43"/>
  <c r="D37" i="42"/>
  <c r="D112" i="43"/>
  <c r="D135" i="44"/>
  <c r="F153" i="43"/>
  <c r="F54" i="43"/>
  <c r="D119" i="44"/>
  <c r="F131" i="44"/>
  <c r="F178" i="42"/>
  <c r="F113" i="44"/>
  <c r="D123" i="44"/>
  <c r="D154" i="44"/>
  <c r="D120" i="44"/>
  <c r="D103" i="43"/>
  <c r="F8" i="43"/>
  <c r="F121" i="43"/>
  <c r="F61" i="42"/>
  <c r="F29" i="42"/>
  <c r="D131" i="44"/>
  <c r="F28" i="43"/>
  <c r="E157" i="43"/>
  <c r="F52" i="44"/>
  <c r="D36" i="44"/>
  <c r="F78" i="44"/>
  <c r="F38" i="42"/>
  <c r="D30" i="42"/>
  <c r="D53" i="44"/>
  <c r="D109" i="43"/>
  <c r="F125" i="42"/>
  <c r="D39" i="42"/>
  <c r="F38" i="43"/>
  <c r="D180" i="42"/>
  <c r="F57" i="43"/>
  <c r="D188" i="42"/>
  <c r="F198" i="42"/>
  <c r="F149" i="44"/>
  <c r="F142" i="42"/>
  <c r="D48" i="44"/>
  <c r="F21" i="42"/>
  <c r="E146" i="42"/>
  <c r="F184" i="42"/>
  <c r="F18" i="43"/>
  <c r="D87" i="42"/>
  <c r="E150" i="42"/>
  <c r="E125" i="42"/>
  <c r="F19" i="44"/>
  <c r="D126" i="42"/>
  <c r="F83" i="44"/>
  <c r="D51" i="42"/>
  <c r="F47" i="43"/>
  <c r="F53" i="42"/>
  <c r="D100" i="43"/>
  <c r="D135" i="43"/>
  <c r="D26" i="44"/>
  <c r="F203" i="42"/>
  <c r="D177" i="42"/>
  <c r="D95" i="44"/>
  <c r="D110" i="42"/>
  <c r="F40" i="42"/>
  <c r="D176" i="42"/>
  <c r="F145" i="42"/>
  <c r="D168" i="42"/>
  <c r="D96" i="44"/>
  <c r="D60" i="42"/>
  <c r="D102" i="44"/>
  <c r="F79" i="42"/>
  <c r="D154" i="43"/>
  <c r="E152" i="42"/>
  <c r="E19" i="44"/>
  <c r="F48" i="44"/>
  <c r="D124" i="44"/>
  <c r="D50" i="44"/>
  <c r="D137" i="44"/>
  <c r="F168" i="42"/>
  <c r="F154" i="43"/>
  <c r="F80" i="42"/>
  <c r="E105" i="44"/>
  <c r="D156" i="43"/>
  <c r="E104" i="44"/>
  <c r="F113" i="42"/>
  <c r="D17" i="44"/>
  <c r="F173" i="42"/>
  <c r="D146" i="42"/>
  <c r="F145" i="43"/>
  <c r="F97" i="42"/>
  <c r="F50" i="44"/>
  <c r="D94" i="42"/>
  <c r="F135" i="43"/>
  <c r="E148" i="44"/>
  <c r="D55" i="44"/>
  <c r="F160" i="42"/>
  <c r="D148" i="43"/>
  <c r="F177" i="42"/>
  <c r="F93" i="42"/>
  <c r="D149" i="42"/>
  <c r="E106" i="44"/>
  <c r="E8" i="44"/>
  <c r="F16" i="44"/>
  <c r="F80" i="44"/>
  <c r="F60" i="43"/>
  <c r="D64" i="42"/>
  <c r="F140" i="42"/>
  <c r="D151" i="44"/>
  <c r="D101" i="44"/>
  <c r="D104" i="43"/>
  <c r="D43" i="42"/>
  <c r="E18" i="44"/>
  <c r="D159" i="42"/>
  <c r="E144" i="42"/>
  <c r="E113" i="42"/>
  <c r="F63" i="42"/>
  <c r="D131" i="42"/>
  <c r="F179" i="42"/>
  <c r="F77" i="44"/>
  <c r="D204" i="42"/>
  <c r="F86" i="43"/>
  <c r="D185" i="42"/>
  <c r="D149" i="43"/>
  <c r="D119" i="43"/>
  <c r="F10" i="43"/>
  <c r="D97" i="44"/>
  <c r="E17" i="42"/>
  <c r="F36" i="42"/>
  <c r="E100" i="44"/>
  <c r="E156" i="43"/>
  <c r="D34" i="44"/>
  <c r="D139" i="42"/>
  <c r="F91" i="42"/>
  <c r="F109" i="42"/>
  <c r="D10" i="42"/>
  <c r="D113" i="42"/>
  <c r="D148" i="44"/>
  <c r="F54" i="44"/>
  <c r="D11" i="42"/>
  <c r="E27" i="44"/>
  <c r="F200" i="42"/>
  <c r="F90" i="43"/>
  <c r="F146" i="43"/>
  <c r="F158" i="42"/>
  <c r="D81" i="44"/>
  <c r="F167" i="42"/>
  <c r="D19" i="42"/>
  <c r="E61" i="42"/>
  <c r="E124" i="43"/>
  <c r="D179" i="42"/>
  <c r="D83" i="44"/>
  <c r="F37" i="44"/>
  <c r="F81" i="44"/>
  <c r="E122" i="42"/>
  <c r="E8" i="43"/>
  <c r="F147" i="42"/>
  <c r="F60" i="42"/>
  <c r="F88" i="43"/>
  <c r="F41" i="44"/>
  <c r="D138" i="44"/>
  <c r="D38" i="44"/>
  <c r="D28" i="44"/>
  <c r="F103" i="44"/>
  <c r="F28" i="44"/>
  <c r="D148" i="42"/>
  <c r="D183" i="42"/>
  <c r="D52" i="42"/>
  <c r="F182" i="42"/>
  <c r="F128" i="42"/>
  <c r="F8" i="42"/>
  <c r="E26" i="43"/>
  <c r="D104" i="42"/>
  <c r="F149" i="43"/>
  <c r="D22" i="42"/>
  <c r="F152" i="42"/>
  <c r="D57" i="42"/>
  <c r="F86" i="44"/>
  <c r="D144" i="42"/>
  <c r="E149" i="44"/>
  <c r="F94" i="43"/>
  <c r="D187" i="42"/>
  <c r="F73" i="42"/>
  <c r="F196" i="42"/>
  <c r="F58" i="43"/>
  <c r="E119" i="44"/>
  <c r="F153" i="44"/>
  <c r="F17" i="42"/>
  <c r="F202" i="42"/>
  <c r="E121" i="43"/>
  <c r="D126" i="43"/>
  <c r="F91" i="43"/>
  <c r="D41" i="42"/>
  <c r="F30" i="42"/>
  <c r="D91" i="42"/>
  <c r="D181" i="42"/>
  <c r="D98" i="42"/>
  <c r="E95" i="44"/>
  <c r="F151" i="42"/>
  <c r="F41" i="42"/>
  <c r="D21" i="42"/>
  <c r="F152" i="44"/>
  <c r="V84" i="51" l="1"/>
  <c r="W84" i="51" s="1"/>
  <c r="F75" i="52" s="1"/>
  <c r="H70" i="34" s="1"/>
  <c r="V84" i="50"/>
  <c r="W84" i="50" s="1"/>
  <c r="F74" i="52" s="1"/>
  <c r="H69" i="34" s="1"/>
  <c r="AA51" i="41"/>
  <c r="AB51" i="41" s="1"/>
  <c r="F72" i="52" s="1"/>
  <c r="AA50" i="40"/>
  <c r="AB50" i="40" s="1"/>
  <c r="F71" i="52" s="1"/>
  <c r="H67" i="34" s="1"/>
  <c r="AA52" i="39"/>
  <c r="AB52" i="39" s="1"/>
  <c r="F70" i="52" s="1"/>
  <c r="AA51" i="38"/>
  <c r="AB51" i="38" s="1"/>
  <c r="F69" i="52" s="1"/>
  <c r="AA51" i="32"/>
  <c r="AB51" i="32" s="1"/>
  <c r="F68" i="52" s="1"/>
  <c r="H66" i="34" s="1"/>
  <c r="F66" i="52"/>
  <c r="V84" i="49"/>
  <c r="W84" i="49" s="1"/>
  <c r="AA52" i="22"/>
  <c r="AB52" i="22" s="1"/>
  <c r="U23" i="47"/>
  <c r="V20" i="47"/>
  <c r="H206" i="20"/>
  <c r="H205" i="20"/>
  <c r="H204" i="20"/>
  <c r="H198" i="20"/>
  <c r="H199" i="20"/>
  <c r="H201" i="20"/>
  <c r="H207" i="20"/>
  <c r="H208" i="20"/>
  <c r="H240" i="20"/>
  <c r="H241" i="20"/>
  <c r="H242" i="20"/>
  <c r="Y119" i="41"/>
  <c r="Y118" i="40"/>
  <c r="H260" i="40" s="1"/>
  <c r="Y24" i="39"/>
  <c r="Y60" i="41"/>
  <c r="Y59" i="40"/>
  <c r="Y61" i="39"/>
  <c r="Y60" i="38"/>
  <c r="Y60" i="32"/>
  <c r="Y61" i="22"/>
  <c r="Y62" i="21"/>
  <c r="H297" i="21" s="1"/>
  <c r="AE25" i="47" a="1"/>
  <c r="L6" i="47"/>
  <c r="M26" i="47"/>
  <c r="E145" i="42"/>
  <c r="E8" i="42"/>
  <c r="M24" i="47"/>
  <c r="E143" i="42"/>
  <c r="U25" i="47" a="1"/>
  <c r="K26" i="47"/>
  <c r="E140" i="42"/>
  <c r="D151" i="42"/>
  <c r="AJ25" i="47" a="1"/>
  <c r="Z25" i="47" a="1"/>
  <c r="E139" i="42"/>
  <c r="AO25" i="47" a="1"/>
  <c r="L12" i="47"/>
  <c r="E196" i="42"/>
  <c r="L18" i="47"/>
  <c r="E141" i="42"/>
  <c r="E29" i="42"/>
  <c r="E21" i="42"/>
  <c r="E9" i="42"/>
  <c r="E19" i="42"/>
  <c r="E20" i="42"/>
  <c r="E11" i="42"/>
  <c r="M28" i="47"/>
  <c r="E28" i="42"/>
  <c r="H223" i="39" l="1"/>
  <c r="G299" i="39"/>
  <c r="G298" i="39"/>
  <c r="F67" i="52"/>
  <c r="H282" i="22"/>
  <c r="AO25" i="47"/>
  <c r="AJ25" i="47"/>
  <c r="AE25" i="47"/>
  <c r="F73" i="52"/>
  <c r="H211" i="41"/>
  <c r="C61" i="52" s="1"/>
  <c r="H208" i="39"/>
  <c r="C46" i="52" s="1"/>
  <c r="Z25" i="47"/>
  <c r="U25" i="47"/>
  <c r="H217" i="39"/>
  <c r="Y124" i="41"/>
  <c r="H291" i="41" s="1"/>
  <c r="H198" i="41" s="1"/>
  <c r="H263" i="41"/>
  <c r="Y122" i="40"/>
  <c r="O122" i="40" s="1"/>
  <c r="H264" i="40" s="1"/>
  <c r="Y120" i="41"/>
  <c r="H292" i="41" s="1"/>
  <c r="H199" i="41" s="1"/>
  <c r="Y121" i="41"/>
  <c r="O121" i="41" s="1"/>
  <c r="Y122" i="41"/>
  <c r="O122" i="41" s="1"/>
  <c r="Y123" i="41"/>
  <c r="O123" i="41" s="1"/>
  <c r="H267" i="41" s="1"/>
  <c r="Y120" i="40"/>
  <c r="O120" i="40" s="1"/>
  <c r="Y123" i="40"/>
  <c r="Y119" i="40"/>
  <c r="Y121" i="40"/>
  <c r="O121" i="40" s="1"/>
  <c r="E150" i="44"/>
  <c r="E197" i="42"/>
  <c r="O124" i="40" l="1"/>
  <c r="O125" i="41"/>
  <c r="H283" i="40"/>
  <c r="H191" i="40" s="1"/>
  <c r="H261" i="40"/>
  <c r="H287" i="40"/>
  <c r="H195" i="40" s="1"/>
  <c r="H262" i="40"/>
  <c r="H289" i="40"/>
  <c r="H196" i="40" s="1"/>
  <c r="H286" i="41"/>
  <c r="H193" i="41" s="1"/>
  <c r="H263" i="40"/>
  <c r="O124" i="41"/>
  <c r="H264" i="41"/>
  <c r="H266" i="41"/>
  <c r="O120" i="41"/>
  <c r="H265" i="41"/>
  <c r="O119" i="40"/>
  <c r="O123" i="40"/>
  <c r="E153" i="44"/>
  <c r="E52" i="44"/>
  <c r="E152" i="44"/>
  <c r="E151" i="44"/>
  <c r="E47" i="44"/>
  <c r="E154" i="44"/>
  <c r="Z53" i="20" l="1"/>
  <c r="Z52" i="20"/>
  <c r="Z49" i="20"/>
  <c r="Y60" i="20"/>
  <c r="H265" i="20" s="1"/>
  <c r="S12" i="34"/>
  <c r="T12" i="34"/>
  <c r="C74" i="52" l="1"/>
  <c r="E69" i="34" s="1"/>
  <c r="C75" i="52"/>
  <c r="E70" i="34" s="1"/>
  <c r="C73" i="52"/>
  <c r="E68" i="34" s="1"/>
  <c r="U12" i="34"/>
  <c r="AA52" i="20"/>
  <c r="AB52" i="20" s="1"/>
  <c r="C72" i="52"/>
  <c r="C67" i="52"/>
  <c r="C69" i="52"/>
  <c r="C70" i="52"/>
  <c r="C68" i="52"/>
  <c r="E66" i="34" s="1"/>
  <c r="V12" i="34"/>
  <c r="AF138" i="32"/>
  <c r="H235" i="32" s="1"/>
  <c r="AE138" i="32"/>
  <c r="AA138" i="32"/>
  <c r="AF139" i="38"/>
  <c r="H239" i="38" s="1"/>
  <c r="AE139" i="38"/>
  <c r="AA139" i="38"/>
  <c r="AF138" i="38"/>
  <c r="H236" i="38" s="1"/>
  <c r="AE138" i="38"/>
  <c r="AA138" i="38"/>
  <c r="AA158" i="41"/>
  <c r="AA157" i="41"/>
  <c r="Z158" i="41"/>
  <c r="H258" i="41" s="1"/>
  <c r="Y158" i="41"/>
  <c r="Z157" i="41"/>
  <c r="H256" i="41" s="1"/>
  <c r="Y157" i="41"/>
  <c r="AA150" i="41"/>
  <c r="Z150" i="41"/>
  <c r="H250" i="41" s="1"/>
  <c r="O150" i="41"/>
  <c r="AA149" i="41"/>
  <c r="Z149" i="41"/>
  <c r="H249" i="41" s="1"/>
  <c r="AA148" i="41"/>
  <c r="Z148" i="41"/>
  <c r="Y141" i="41"/>
  <c r="H253" i="41" s="1"/>
  <c r="AK134" i="41"/>
  <c r="Y134" i="41"/>
  <c r="O134" i="41"/>
  <c r="AI134" i="41" s="1"/>
  <c r="AM134" i="41" s="1"/>
  <c r="AK133" i="41"/>
  <c r="Y133" i="41"/>
  <c r="O133" i="41"/>
  <c r="AI133" i="41" s="1"/>
  <c r="AM133" i="41" s="1"/>
  <c r="AK132" i="41"/>
  <c r="Y132" i="41"/>
  <c r="O132" i="41"/>
  <c r="AI132" i="41" s="1"/>
  <c r="AM132" i="41" s="1"/>
  <c r="AK131" i="41"/>
  <c r="Y131" i="41"/>
  <c r="O131" i="41"/>
  <c r="AI131" i="41" s="1"/>
  <c r="AM131" i="41" s="1"/>
  <c r="AK113" i="41"/>
  <c r="AB112" i="41"/>
  <c r="AA112" i="41"/>
  <c r="AC112" i="41" s="1"/>
  <c r="O112" i="41" s="1"/>
  <c r="Y112" i="41"/>
  <c r="AB111" i="41"/>
  <c r="AA111" i="41"/>
  <c r="AC111" i="41" s="1"/>
  <c r="Y111" i="41"/>
  <c r="AB110" i="41"/>
  <c r="AA110" i="41"/>
  <c r="AC110" i="41" s="1"/>
  <c r="Y110" i="41"/>
  <c r="AB109" i="41"/>
  <c r="AA109" i="41"/>
  <c r="AC109" i="41" s="1"/>
  <c r="Y109" i="41"/>
  <c r="AB108" i="41"/>
  <c r="AA108" i="41"/>
  <c r="AC108" i="41" s="1"/>
  <c r="Y108" i="41"/>
  <c r="AB107" i="41"/>
  <c r="AA107" i="41"/>
  <c r="AC107" i="41" s="1"/>
  <c r="Y107" i="41"/>
  <c r="AB106" i="41"/>
  <c r="AA106" i="41"/>
  <c r="AC106" i="41" s="1"/>
  <c r="Y106" i="41"/>
  <c r="AK100" i="41"/>
  <c r="AJ100" i="41"/>
  <c r="AB99" i="41" a="1"/>
  <c r="AB99" i="41" s="1"/>
  <c r="H240" i="41" s="1"/>
  <c r="AA99" i="41" a="1"/>
  <c r="AA99" i="41" s="1"/>
  <c r="Z99" i="41"/>
  <c r="Y99" i="41"/>
  <c r="O99" i="41"/>
  <c r="N99" i="41"/>
  <c r="AB98" i="41" a="1"/>
  <c r="AB98" i="41" s="1"/>
  <c r="H239" i="41" s="1"/>
  <c r="AA98" i="41" a="1"/>
  <c r="AA98" i="41" s="1"/>
  <c r="Z98" i="41"/>
  <c r="Y98" i="41"/>
  <c r="AB97" i="41" a="1"/>
  <c r="AB97" i="41" s="1"/>
  <c r="H238" i="41" s="1"/>
  <c r="AA97" i="41" a="1"/>
  <c r="AA97" i="41" s="1"/>
  <c r="Z97" i="41"/>
  <c r="Y97" i="41"/>
  <c r="AB96" i="41" a="1"/>
  <c r="AB96" i="41" s="1"/>
  <c r="H237" i="41" s="1"/>
  <c r="AA96" i="41" a="1"/>
  <c r="AA96" i="41" s="1"/>
  <c r="Z96" i="41"/>
  <c r="Y96" i="41"/>
  <c r="AB95" i="41" a="1"/>
  <c r="AB95" i="41" s="1"/>
  <c r="H236" i="41" s="1"/>
  <c r="AA95" i="41" a="1"/>
  <c r="AA95" i="41" s="1"/>
  <c r="Z95" i="41"/>
  <c r="Y95" i="41"/>
  <c r="Z80" i="41"/>
  <c r="Y80" i="41"/>
  <c r="O80" i="41"/>
  <c r="Z79" i="41"/>
  <c r="Y79" i="41"/>
  <c r="O79" i="41"/>
  <c r="Z78" i="41"/>
  <c r="Y78" i="41"/>
  <c r="O78" i="41"/>
  <c r="Z77" i="41"/>
  <c r="Y77" i="41"/>
  <c r="O77" i="41"/>
  <c r="AK43" i="41"/>
  <c r="AC42" i="41"/>
  <c r="AB42" i="41"/>
  <c r="H244" i="41" s="1"/>
  <c r="Z42" i="41"/>
  <c r="Y42" i="41"/>
  <c r="AK36" i="41"/>
  <c r="AC35" i="41" a="1"/>
  <c r="AC35" i="41" s="1"/>
  <c r="AB35" i="41"/>
  <c r="H243" i="41" s="1"/>
  <c r="Z35" i="41"/>
  <c r="Y35" i="41"/>
  <c r="O35" i="41"/>
  <c r="AC34" i="41" a="1"/>
  <c r="AC34" i="41" s="1"/>
  <c r="AB34" i="41"/>
  <c r="H242" i="41" s="1"/>
  <c r="Z34" i="41"/>
  <c r="Y34" i="41"/>
  <c r="AC33" i="41" a="1"/>
  <c r="AC33" i="41" s="1"/>
  <c r="AB33" i="41"/>
  <c r="H241" i="41" s="1"/>
  <c r="Z33" i="41"/>
  <c r="Y33" i="41"/>
  <c r="H247" i="40"/>
  <c r="O149" i="40"/>
  <c r="H246" i="40"/>
  <c r="Y140" i="40"/>
  <c r="H250" i="40" s="1"/>
  <c r="AK133" i="40"/>
  <c r="Y133" i="40"/>
  <c r="O133" i="40"/>
  <c r="AI133" i="40" s="1"/>
  <c r="AM133" i="40" s="1"/>
  <c r="AK132" i="40"/>
  <c r="Y132" i="40"/>
  <c r="O132" i="40"/>
  <c r="AI132" i="40" s="1"/>
  <c r="AM132" i="40" s="1"/>
  <c r="AK131" i="40"/>
  <c r="Y131" i="40"/>
  <c r="O131" i="40"/>
  <c r="AI131" i="40" s="1"/>
  <c r="AM131" i="40" s="1"/>
  <c r="AK130" i="40"/>
  <c r="Y130" i="40"/>
  <c r="O130" i="40"/>
  <c r="AK112" i="40"/>
  <c r="AB111" i="40"/>
  <c r="AA111" i="40"/>
  <c r="AC111" i="40" s="1"/>
  <c r="Y111" i="40"/>
  <c r="AB110" i="40"/>
  <c r="AA110" i="40"/>
  <c r="AC110" i="40" s="1"/>
  <c r="Y110" i="40"/>
  <c r="AB109" i="40"/>
  <c r="AA109" i="40"/>
  <c r="AC109" i="40" s="1"/>
  <c r="Y109" i="40"/>
  <c r="AB108" i="40"/>
  <c r="AA108" i="40"/>
  <c r="AC108" i="40" s="1"/>
  <c r="Y108" i="40"/>
  <c r="AB107" i="40"/>
  <c r="AA107" i="40"/>
  <c r="AC107" i="40" s="1"/>
  <c r="Y107" i="40"/>
  <c r="AB106" i="40"/>
  <c r="AA106" i="40"/>
  <c r="AC106" i="40" s="1"/>
  <c r="Y106" i="40"/>
  <c r="AB105" i="40"/>
  <c r="AA105" i="40"/>
  <c r="AC105" i="40" s="1"/>
  <c r="Y105" i="40"/>
  <c r="AK99" i="40"/>
  <c r="AJ99" i="40"/>
  <c r="AB98" i="40" a="1"/>
  <c r="AB98" i="40" s="1"/>
  <c r="H237" i="40" s="1"/>
  <c r="AA98" i="40" a="1"/>
  <c r="AA98" i="40" s="1"/>
  <c r="Z98" i="40"/>
  <c r="Y98" i="40"/>
  <c r="O98" i="40"/>
  <c r="N98" i="40"/>
  <c r="AB97" i="40" a="1"/>
  <c r="AB97" i="40" s="1"/>
  <c r="H236" i="40" s="1"/>
  <c r="AA97" i="40" a="1"/>
  <c r="AA97" i="40" s="1"/>
  <c r="Z97" i="40"/>
  <c r="Y97" i="40"/>
  <c r="AB96" i="40" a="1"/>
  <c r="AB96" i="40" s="1"/>
  <c r="H235" i="40" s="1"/>
  <c r="AA96" i="40" a="1"/>
  <c r="AA96" i="40" s="1"/>
  <c r="Z96" i="40"/>
  <c r="Y96" i="40"/>
  <c r="AB95" i="40" a="1"/>
  <c r="AB95" i="40" s="1"/>
  <c r="H234" i="40" s="1"/>
  <c r="AA95" i="40" a="1"/>
  <c r="AA95" i="40" s="1"/>
  <c r="Z95" i="40"/>
  <c r="Y95" i="40"/>
  <c r="AB94" i="40" a="1"/>
  <c r="AB94" i="40" s="1"/>
  <c r="H233" i="40" s="1"/>
  <c r="AA94" i="40" a="1"/>
  <c r="AA94" i="40" s="1"/>
  <c r="Z94" i="40"/>
  <c r="Y94" i="40"/>
  <c r="Z79" i="40"/>
  <c r="Y79" i="40"/>
  <c r="O79" i="40"/>
  <c r="Z78" i="40"/>
  <c r="Y78" i="40"/>
  <c r="O78" i="40"/>
  <c r="Z77" i="40"/>
  <c r="Y77" i="40"/>
  <c r="O77" i="40"/>
  <c r="Z76" i="40"/>
  <c r="Y76" i="40"/>
  <c r="O76" i="40"/>
  <c r="AK42" i="40"/>
  <c r="AC41" i="40"/>
  <c r="AB41" i="40"/>
  <c r="H241" i="40" s="1"/>
  <c r="Z41" i="40"/>
  <c r="Y41" i="40"/>
  <c r="AK35" i="40"/>
  <c r="AC34" i="40" a="1"/>
  <c r="AC34" i="40" s="1"/>
  <c r="AB34" i="40"/>
  <c r="H240" i="40" s="1"/>
  <c r="Z34" i="40"/>
  <c r="Y34" i="40"/>
  <c r="O34" i="40"/>
  <c r="AC33" i="40" a="1"/>
  <c r="AC33" i="40" s="1"/>
  <c r="AB33" i="40"/>
  <c r="H239" i="40" s="1"/>
  <c r="Z33" i="40"/>
  <c r="Y33" i="40"/>
  <c r="AC32" i="40" a="1"/>
  <c r="AC32" i="40" s="1"/>
  <c r="AB32" i="40"/>
  <c r="H238" i="40" s="1"/>
  <c r="Z32" i="40"/>
  <c r="Y32" i="40"/>
  <c r="AK90" i="39"/>
  <c r="I258" i="39"/>
  <c r="O90" i="39"/>
  <c r="AI90" i="39" s="1"/>
  <c r="Y15" i="39"/>
  <c r="H215" i="39" s="1"/>
  <c r="AB146" i="39"/>
  <c r="H248" i="39" s="1"/>
  <c r="Z146" i="39"/>
  <c r="Y146" i="39"/>
  <c r="H249" i="39" s="1"/>
  <c r="H269" i="39"/>
  <c r="O139" i="39"/>
  <c r="H268" i="39"/>
  <c r="H267" i="39"/>
  <c r="Y130" i="39"/>
  <c r="H245" i="39" s="1"/>
  <c r="AK123" i="39"/>
  <c r="Y123" i="39"/>
  <c r="O123" i="39"/>
  <c r="AI123" i="39" s="1"/>
  <c r="AM123" i="39" s="1"/>
  <c r="AK122" i="39"/>
  <c r="Y122" i="39"/>
  <c r="O122" i="39"/>
  <c r="AI122" i="39" s="1"/>
  <c r="AM122" i="39" s="1"/>
  <c r="AK121" i="39"/>
  <c r="Y121" i="39"/>
  <c r="O121" i="39"/>
  <c r="AI121" i="39" s="1"/>
  <c r="AM121" i="39" s="1"/>
  <c r="AK120" i="39"/>
  <c r="Y120" i="39"/>
  <c r="O120" i="39"/>
  <c r="AI120" i="39" s="1"/>
  <c r="AM120" i="39" s="1"/>
  <c r="AK114" i="39"/>
  <c r="AB113" i="39"/>
  <c r="AA113" i="39"/>
  <c r="AC113" i="39" s="1"/>
  <c r="Y113" i="39"/>
  <c r="AB112" i="39"/>
  <c r="AA112" i="39"/>
  <c r="AC112" i="39" s="1"/>
  <c r="Y112" i="39"/>
  <c r="AB111" i="39"/>
  <c r="AA111" i="39"/>
  <c r="AC111" i="39" s="1"/>
  <c r="Y111" i="39"/>
  <c r="AB110" i="39"/>
  <c r="AA110" i="39"/>
  <c r="AC110" i="39" s="1"/>
  <c r="Y110" i="39"/>
  <c r="AB109" i="39"/>
  <c r="AA109" i="39"/>
  <c r="AC109" i="39" s="1"/>
  <c r="Y109" i="39"/>
  <c r="AB108" i="39"/>
  <c r="AA108" i="39"/>
  <c r="AC108" i="39" s="1"/>
  <c r="Y108" i="39"/>
  <c r="AB107" i="39"/>
  <c r="AA107" i="39"/>
  <c r="AC107" i="39" s="1"/>
  <c r="Y107" i="39"/>
  <c r="AK101" i="39"/>
  <c r="AJ101" i="39"/>
  <c r="AB100" i="39" a="1"/>
  <c r="AB100" i="39" s="1"/>
  <c r="H241" i="39" s="1"/>
  <c r="AA100" i="39" a="1"/>
  <c r="AA100" i="39" s="1"/>
  <c r="Z100" i="39"/>
  <c r="Y100" i="39"/>
  <c r="O100" i="39"/>
  <c r="N100" i="39"/>
  <c r="AB99" i="39" a="1"/>
  <c r="AB99" i="39" s="1"/>
  <c r="H240" i="39" s="1"/>
  <c r="AA99" i="39" a="1"/>
  <c r="AA99" i="39" s="1"/>
  <c r="Z99" i="39"/>
  <c r="Y99" i="39"/>
  <c r="O99" i="39"/>
  <c r="N99" i="39"/>
  <c r="AB98" i="39" a="1"/>
  <c r="AB98" i="39" s="1"/>
  <c r="H239" i="39" s="1"/>
  <c r="AA98" i="39" a="1"/>
  <c r="AA98" i="39" s="1"/>
  <c r="Z98" i="39"/>
  <c r="Y98" i="39"/>
  <c r="O98" i="39"/>
  <c r="N98" i="39"/>
  <c r="AB97" i="39" a="1"/>
  <c r="AB97" i="39" s="1"/>
  <c r="H238" i="39" s="1"/>
  <c r="AA97" i="39" a="1"/>
  <c r="AA97" i="39" s="1"/>
  <c r="Z97" i="39"/>
  <c r="Y97" i="39"/>
  <c r="O97" i="39"/>
  <c r="N97" i="39"/>
  <c r="AB96" i="39" a="1"/>
  <c r="AB96" i="39" s="1"/>
  <c r="H237" i="39" s="1"/>
  <c r="AA96" i="39" a="1"/>
  <c r="AA96" i="39" s="1"/>
  <c r="Z96" i="39"/>
  <c r="Y96" i="39"/>
  <c r="Z81" i="39"/>
  <c r="Y81" i="39"/>
  <c r="O81" i="39"/>
  <c r="Z80" i="39"/>
  <c r="Y80" i="39"/>
  <c r="O80" i="39"/>
  <c r="Z79" i="39"/>
  <c r="Y79" i="39"/>
  <c r="O79" i="39"/>
  <c r="Z78" i="39"/>
  <c r="Y78" i="39"/>
  <c r="O78" i="39"/>
  <c r="AK44" i="39"/>
  <c r="AC43" i="39"/>
  <c r="AB43" i="39"/>
  <c r="H263" i="39" s="1"/>
  <c r="Z43" i="39"/>
  <c r="Y43" i="39"/>
  <c r="AK37" i="39"/>
  <c r="AC36" i="39" a="1"/>
  <c r="AC36" i="39" s="1"/>
  <c r="AB36" i="39"/>
  <c r="H262" i="39" s="1"/>
  <c r="Z36" i="39"/>
  <c r="Y36" i="39"/>
  <c r="O36" i="39"/>
  <c r="AC35" i="39" a="1"/>
  <c r="AC35" i="39" s="1"/>
  <c r="AB35" i="39"/>
  <c r="H261" i="39" s="1"/>
  <c r="Z35" i="39"/>
  <c r="Y35" i="39"/>
  <c r="AC34" i="39" a="1"/>
  <c r="AC34" i="39" s="1"/>
  <c r="AB34" i="39"/>
  <c r="H260" i="39" s="1"/>
  <c r="Z34" i="39"/>
  <c r="Y34" i="39"/>
  <c r="H250" i="38"/>
  <c r="O130" i="38"/>
  <c r="H249" i="38"/>
  <c r="Y121" i="38"/>
  <c r="H232" i="38" s="1"/>
  <c r="AK114" i="38"/>
  <c r="Y114" i="38"/>
  <c r="O114" i="38"/>
  <c r="AI114" i="38" s="1"/>
  <c r="AM114" i="38" s="1"/>
  <c r="AK113" i="38"/>
  <c r="Y113" i="38"/>
  <c r="O113" i="38"/>
  <c r="AI113" i="38" s="1"/>
  <c r="AM113" i="38" s="1"/>
  <c r="AK112" i="38"/>
  <c r="Y112" i="38"/>
  <c r="O112" i="38"/>
  <c r="AI112" i="38" s="1"/>
  <c r="AM112" i="38" s="1"/>
  <c r="AK111" i="38"/>
  <c r="Y111" i="38"/>
  <c r="O111" i="38"/>
  <c r="AI111" i="38" s="1"/>
  <c r="AM111" i="38" s="1"/>
  <c r="AK105" i="38"/>
  <c r="AB104" i="38"/>
  <c r="AA104" i="38"/>
  <c r="AC104" i="38" s="1"/>
  <c r="Y104" i="38"/>
  <c r="AB103" i="38"/>
  <c r="AA103" i="38"/>
  <c r="AC103" i="38" s="1"/>
  <c r="Y103" i="38"/>
  <c r="AB102" i="38"/>
  <c r="AA102" i="38"/>
  <c r="AC102" i="38" s="1"/>
  <c r="Y102" i="38"/>
  <c r="AB101" i="38"/>
  <c r="AA101" i="38"/>
  <c r="AC101" i="38" s="1"/>
  <c r="Y101" i="38"/>
  <c r="AB100" i="38"/>
  <c r="AA100" i="38"/>
  <c r="AC100" i="38" s="1"/>
  <c r="Y100" i="38"/>
  <c r="AB99" i="38"/>
  <c r="AA99" i="38"/>
  <c r="AC99" i="38" s="1"/>
  <c r="Y99" i="38"/>
  <c r="AB98" i="38"/>
  <c r="AA98" i="38"/>
  <c r="AC98" i="38" s="1"/>
  <c r="Y98" i="38"/>
  <c r="AK92" i="38"/>
  <c r="AJ92" i="38"/>
  <c r="AB91" i="38" a="1"/>
  <c r="AB91" i="38" s="1"/>
  <c r="H228" i="38" s="1"/>
  <c r="AA91" i="38" a="1"/>
  <c r="AA91" i="38" s="1"/>
  <c r="Z91" i="38"/>
  <c r="Y91" i="38"/>
  <c r="O91" i="38"/>
  <c r="N91" i="38"/>
  <c r="AB90" i="38" a="1"/>
  <c r="AB90" i="38" s="1"/>
  <c r="H227" i="38" s="1"/>
  <c r="AA90" i="38" a="1"/>
  <c r="AA90" i="38" s="1"/>
  <c r="Z90" i="38"/>
  <c r="Y90" i="38"/>
  <c r="AB89" i="38" a="1"/>
  <c r="AB89" i="38" s="1"/>
  <c r="H226" i="38" s="1"/>
  <c r="AA89" i="38" a="1"/>
  <c r="AA89" i="38" s="1"/>
  <c r="Z89" i="38"/>
  <c r="Y89" i="38"/>
  <c r="AB88" i="38" a="1"/>
  <c r="AB88" i="38" s="1"/>
  <c r="H225" i="38" s="1"/>
  <c r="AA88" i="38" a="1"/>
  <c r="AA88" i="38" s="1"/>
  <c r="Z88" i="38"/>
  <c r="Y88" i="38"/>
  <c r="AB87" i="38" a="1"/>
  <c r="AB87" i="38" s="1"/>
  <c r="H224" i="38" s="1"/>
  <c r="AA87" i="38" a="1"/>
  <c r="AA87" i="38" s="1"/>
  <c r="Z87" i="38"/>
  <c r="Y87" i="38"/>
  <c r="Z80" i="38"/>
  <c r="Y80" i="38"/>
  <c r="O80" i="38"/>
  <c r="Z79" i="38"/>
  <c r="Y79" i="38"/>
  <c r="O79" i="38"/>
  <c r="Z78" i="38"/>
  <c r="Y78" i="38"/>
  <c r="O78" i="38"/>
  <c r="Z77" i="38"/>
  <c r="Y77" i="38"/>
  <c r="O77" i="38"/>
  <c r="AK43" i="38"/>
  <c r="AC42" i="38"/>
  <c r="AB42" i="38"/>
  <c r="Z42" i="38"/>
  <c r="Y42" i="38"/>
  <c r="AK36" i="38"/>
  <c r="AC35" i="38" a="1"/>
  <c r="AC35" i="38" s="1"/>
  <c r="AB35" i="38"/>
  <c r="H243" i="38" s="1"/>
  <c r="Z35" i="38"/>
  <c r="Y35" i="38"/>
  <c r="O35" i="38"/>
  <c r="AC34" i="38" a="1"/>
  <c r="AC34" i="38" s="1"/>
  <c r="AB34" i="38"/>
  <c r="H242" i="38" s="1"/>
  <c r="Z34" i="38"/>
  <c r="Y34" i="38"/>
  <c r="AC33" i="38" a="1"/>
  <c r="AC33" i="38" s="1"/>
  <c r="AB33" i="38"/>
  <c r="H241" i="38" s="1"/>
  <c r="Z33" i="38"/>
  <c r="Y33" i="38"/>
  <c r="V38" i="34" a="1"/>
  <c r="V38" i="34" s="1"/>
  <c r="D84" i="34" s="1" a="1"/>
  <c r="D84" i="34" s="1"/>
  <c r="U38" i="34" a="1"/>
  <c r="U38" i="34" s="1"/>
  <c r="F42" i="34" s="1"/>
  <c r="T38" i="34"/>
  <c r="S38" i="34"/>
  <c r="I265" i="21" s="1" a="1"/>
  <c r="I265" i="21" s="1"/>
  <c r="W51" i="34"/>
  <c r="V51" i="34" a="1"/>
  <c r="V51" i="34" s="1"/>
  <c r="D80" i="34" s="1" a="1"/>
  <c r="D80" i="34" s="1"/>
  <c r="U51" i="34" a="1"/>
  <c r="U51" i="34" s="1"/>
  <c r="T51" i="34"/>
  <c r="S13" i="34"/>
  <c r="T13" i="34"/>
  <c r="E120" i="44"/>
  <c r="E106" i="43"/>
  <c r="E102" i="44"/>
  <c r="E140" i="44"/>
  <c r="E122" i="44"/>
  <c r="E124" i="44"/>
  <c r="F164" i="43"/>
  <c r="F102" i="44"/>
  <c r="E137" i="44"/>
  <c r="E132" i="44"/>
  <c r="E121" i="44"/>
  <c r="E149" i="43"/>
  <c r="E153" i="43"/>
  <c r="E123" i="44"/>
  <c r="I37" i="34" l="1"/>
  <c r="T67" i="34" s="1"/>
  <c r="F65" i="52"/>
  <c r="H65" i="34" s="1"/>
  <c r="H71" i="34" s="1"/>
  <c r="X61" i="34"/>
  <c r="Z51" i="34"/>
  <c r="W83" i="34" s="1"/>
  <c r="C71" i="52"/>
  <c r="C66" i="52"/>
  <c r="H245" i="21" s="1" a="1"/>
  <c r="H245" i="21" s="1"/>
  <c r="AE49" i="20"/>
  <c r="C65" i="52"/>
  <c r="Z82" i="49"/>
  <c r="Z83" i="49"/>
  <c r="Z83" i="51"/>
  <c r="Z82" i="51"/>
  <c r="Z83" i="50"/>
  <c r="Z82" i="50"/>
  <c r="H282" i="40"/>
  <c r="H188" i="40" s="1"/>
  <c r="H278" i="40"/>
  <c r="H184" i="40" s="1"/>
  <c r="H280" i="41"/>
  <c r="H285" i="41"/>
  <c r="H190" i="41" s="1"/>
  <c r="H281" i="41"/>
  <c r="H186" i="41" s="1"/>
  <c r="I243" i="41"/>
  <c r="I262" i="39"/>
  <c r="N96" i="39"/>
  <c r="N101" i="39" s="1"/>
  <c r="AH101" i="39" s="1"/>
  <c r="O96" i="39"/>
  <c r="O101" i="39" s="1"/>
  <c r="AI101" i="39" s="1"/>
  <c r="H251" i="41"/>
  <c r="O148" i="41"/>
  <c r="H248" i="41"/>
  <c r="H252" i="41"/>
  <c r="I303" i="22" a="1"/>
  <c r="I303" i="22" s="1"/>
  <c r="E84" i="34" a="1"/>
  <c r="E84" i="34" s="1"/>
  <c r="N96" i="40"/>
  <c r="I237" i="39"/>
  <c r="O94" i="40"/>
  <c r="I235" i="41" a="1"/>
  <c r="I235" i="41" s="1"/>
  <c r="I234" i="20" a="1"/>
  <c r="I234" i="20" s="1"/>
  <c r="I222" i="32" a="1"/>
  <c r="I222" i="32" s="1"/>
  <c r="I223" i="38" a="1"/>
  <c r="I223" i="38" s="1"/>
  <c r="I232" i="40" a="1"/>
  <c r="I232" i="40" s="1"/>
  <c r="I236" i="39" a="1"/>
  <c r="I236" i="39" s="1"/>
  <c r="I240" i="40"/>
  <c r="O147" i="40"/>
  <c r="N94" i="40"/>
  <c r="H245" i="40"/>
  <c r="H249" i="40"/>
  <c r="H248" i="40"/>
  <c r="O148" i="40"/>
  <c r="O95" i="40"/>
  <c r="N88" i="38"/>
  <c r="I243" i="38"/>
  <c r="I227" i="38"/>
  <c r="I224" i="38"/>
  <c r="I240" i="39"/>
  <c r="O137" i="39"/>
  <c r="O138" i="39"/>
  <c r="O129" i="38"/>
  <c r="O89" i="38"/>
  <c r="N89" i="38"/>
  <c r="H215" i="38" a="1"/>
  <c r="H215" i="38" s="1"/>
  <c r="H216" i="38" a="1"/>
  <c r="H216" i="38" s="1"/>
  <c r="H214" i="38" a="1"/>
  <c r="H214" i="38" s="1"/>
  <c r="N90" i="38"/>
  <c r="O87" i="38"/>
  <c r="O128" i="38"/>
  <c r="N87" i="38"/>
  <c r="I228" i="38"/>
  <c r="H248" i="38"/>
  <c r="H231" i="38"/>
  <c r="H230" i="38"/>
  <c r="I239" i="39"/>
  <c r="I238" i="39"/>
  <c r="I241" i="39"/>
  <c r="H244" i="39"/>
  <c r="H243" i="39"/>
  <c r="H228" i="39" a="1"/>
  <c r="H228" i="39" s="1"/>
  <c r="H229" i="39" a="1"/>
  <c r="H229" i="39" s="1"/>
  <c r="H227" i="39" a="1"/>
  <c r="H227" i="39" s="1"/>
  <c r="H214" i="32" a="1"/>
  <c r="H214" i="32" s="1"/>
  <c r="H215" i="32" a="1"/>
  <c r="H215" i="32" s="1"/>
  <c r="H213" i="32" a="1"/>
  <c r="H213" i="32" s="1"/>
  <c r="I240" i="41"/>
  <c r="O97" i="41"/>
  <c r="N96" i="41"/>
  <c r="O95" i="41"/>
  <c r="N98" i="41"/>
  <c r="N97" i="41"/>
  <c r="I239" i="41"/>
  <c r="N95" i="41"/>
  <c r="H227" i="41" a="1"/>
  <c r="H227" i="41" s="1"/>
  <c r="H226" i="41" a="1"/>
  <c r="H226" i="41" s="1"/>
  <c r="H228" i="41" a="1"/>
  <c r="H228" i="41" s="1"/>
  <c r="I237" i="41"/>
  <c r="O149" i="41"/>
  <c r="H225" i="41" a="1"/>
  <c r="H225" i="41" s="1"/>
  <c r="H223" i="41" a="1"/>
  <c r="H223" i="41" s="1"/>
  <c r="N97" i="40"/>
  <c r="O96" i="40"/>
  <c r="O97" i="40"/>
  <c r="H284" i="22" a="1"/>
  <c r="H284" i="22" s="1"/>
  <c r="H285" i="22" a="1"/>
  <c r="H285" i="22" s="1"/>
  <c r="H283" i="22" a="1"/>
  <c r="H283" i="22" s="1"/>
  <c r="H259" i="41"/>
  <c r="O158" i="41"/>
  <c r="H257" i="41"/>
  <c r="O157" i="41"/>
  <c r="O159" i="41" s="1"/>
  <c r="O96" i="41"/>
  <c r="O98" i="41"/>
  <c r="N95" i="40"/>
  <c r="O90" i="38"/>
  <c r="I225" i="38"/>
  <c r="O88" i="38"/>
  <c r="I226" i="38"/>
  <c r="I238" i="41"/>
  <c r="I236" i="41"/>
  <c r="I235" i="40"/>
  <c r="I233" i="40"/>
  <c r="I236" i="40"/>
  <c r="I234" i="40"/>
  <c r="I237" i="40"/>
  <c r="H226" i="39" a="1"/>
  <c r="H226" i="39" s="1"/>
  <c r="H224" i="39" a="1"/>
  <c r="H224" i="39" s="1"/>
  <c r="H213" i="38" a="1"/>
  <c r="H213" i="38" s="1"/>
  <c r="H211" i="38" a="1"/>
  <c r="H211" i="38" s="1"/>
  <c r="T83" i="34"/>
  <c r="H210" i="32" a="1"/>
  <c r="H210" i="32" s="1"/>
  <c r="H212" i="32" a="1"/>
  <c r="H212" i="32" s="1"/>
  <c r="H280" i="22" a="1"/>
  <c r="H280" i="22" s="1"/>
  <c r="AE50" i="20"/>
  <c r="AE50" i="32"/>
  <c r="AE49" i="32"/>
  <c r="AE49" i="40"/>
  <c r="AE48" i="40"/>
  <c r="AE51" i="39"/>
  <c r="AE50" i="39"/>
  <c r="AE49" i="38"/>
  <c r="AE50" i="38"/>
  <c r="AF51" i="22"/>
  <c r="AF50" i="22"/>
  <c r="Z62" i="21"/>
  <c r="E66" i="52" s="1"/>
  <c r="Z61" i="22"/>
  <c r="E67" i="52" s="1"/>
  <c r="Z59" i="40"/>
  <c r="E71" i="52" s="1"/>
  <c r="Z60" i="41"/>
  <c r="E72" i="52" s="1"/>
  <c r="Z61" i="39"/>
  <c r="E70" i="52" s="1"/>
  <c r="Z60" i="32"/>
  <c r="E68" i="52" s="1"/>
  <c r="G66" i="34" s="1"/>
  <c r="Z60" i="38"/>
  <c r="E69" i="52" s="1"/>
  <c r="AF52" i="21"/>
  <c r="AF51" i="21"/>
  <c r="AE50" i="41"/>
  <c r="AE49" i="41"/>
  <c r="Z60" i="20"/>
  <c r="E65" i="52" s="1"/>
  <c r="H13" i="34"/>
  <c r="T68" i="34" s="1"/>
  <c r="Y82" i="51" s="1"/>
  <c r="AD32" i="40"/>
  <c r="AA33" i="40"/>
  <c r="AD35" i="41"/>
  <c r="AD33" i="41"/>
  <c r="AA42" i="41"/>
  <c r="Z109" i="41"/>
  <c r="AA33" i="41"/>
  <c r="AA34" i="41"/>
  <c r="Z106" i="41"/>
  <c r="O113" i="41" s="1"/>
  <c r="AI113" i="41" s="1"/>
  <c r="Z110" i="41"/>
  <c r="Z107" i="41"/>
  <c r="Z111" i="41"/>
  <c r="O81" i="41"/>
  <c r="AI81" i="41" s="1"/>
  <c r="H279" i="41" s="1"/>
  <c r="Z108" i="41"/>
  <c r="O135" i="41"/>
  <c r="Z112" i="41"/>
  <c r="AA35" i="41"/>
  <c r="AD34" i="41"/>
  <c r="AD34" i="40"/>
  <c r="AD33" i="40"/>
  <c r="Z107" i="40"/>
  <c r="AA41" i="40"/>
  <c r="Z106" i="40"/>
  <c r="Z105" i="40"/>
  <c r="O112" i="40" s="1"/>
  <c r="AI112" i="40" s="1"/>
  <c r="AA34" i="40"/>
  <c r="Z108" i="40"/>
  <c r="O134" i="40"/>
  <c r="Z109" i="40"/>
  <c r="AA32" i="40"/>
  <c r="Z110" i="40"/>
  <c r="O80" i="40"/>
  <c r="AI80" i="40" s="1"/>
  <c r="Z111" i="40"/>
  <c r="AI130" i="40"/>
  <c r="AM130" i="40" s="1"/>
  <c r="AA35" i="39"/>
  <c r="AA34" i="39"/>
  <c r="AD35" i="39"/>
  <c r="AD34" i="39"/>
  <c r="AA43" i="39"/>
  <c r="AA36" i="39"/>
  <c r="Z108" i="39"/>
  <c r="Z109" i="39"/>
  <c r="Z110" i="39"/>
  <c r="Z111" i="39"/>
  <c r="Z112" i="39"/>
  <c r="O82" i="39"/>
  <c r="AI82" i="39" s="1"/>
  <c r="O124" i="39"/>
  <c r="Z113" i="39"/>
  <c r="Z107" i="39"/>
  <c r="O114" i="39" s="1"/>
  <c r="AI114" i="39" s="1"/>
  <c r="AD36" i="39"/>
  <c r="AD35" i="38"/>
  <c r="Z100" i="38"/>
  <c r="Z101" i="38"/>
  <c r="Z99" i="38"/>
  <c r="Z103" i="38"/>
  <c r="AA35" i="38"/>
  <c r="AA33" i="38"/>
  <c r="Z98" i="38"/>
  <c r="O105" i="38" s="1"/>
  <c r="AI105" i="38" s="1"/>
  <c r="Z102" i="38"/>
  <c r="Z104" i="38"/>
  <c r="AD33" i="38"/>
  <c r="AA42" i="38"/>
  <c r="AA34" i="38"/>
  <c r="AD34" i="38"/>
  <c r="O81" i="38"/>
  <c r="AI81" i="38" s="1"/>
  <c r="O115" i="38"/>
  <c r="W38" i="34"/>
  <c r="I38" i="34" s="1"/>
  <c r="T64" i="34" s="1"/>
  <c r="E131" i="44"/>
  <c r="F120" i="44"/>
  <c r="E86" i="43"/>
  <c r="F124" i="44"/>
  <c r="F122" i="44"/>
  <c r="E82" i="43"/>
  <c r="E141" i="44"/>
  <c r="E98" i="44"/>
  <c r="F106" i="43"/>
  <c r="E88" i="43"/>
  <c r="F98" i="44"/>
  <c r="F121" i="44"/>
  <c r="E39" i="44"/>
  <c r="F126" i="42"/>
  <c r="F123" i="44"/>
  <c r="E130" i="44"/>
  <c r="E101" i="44"/>
  <c r="E138" i="44"/>
  <c r="E87" i="43"/>
  <c r="F101" i="44"/>
  <c r="F117" i="44"/>
  <c r="E85" i="43"/>
  <c r="F122" i="43"/>
  <c r="G52" i="21" l="1"/>
  <c r="H220" i="40" a="1"/>
  <c r="H220" i="40" s="1"/>
  <c r="E67" i="34"/>
  <c r="H225" i="40" a="1"/>
  <c r="H225" i="40" s="1"/>
  <c r="H222" i="40" a="1"/>
  <c r="H222" i="40" s="1"/>
  <c r="H224" i="40" a="1"/>
  <c r="H224" i="40" s="1"/>
  <c r="H223" i="40" a="1"/>
  <c r="H223" i="40" s="1"/>
  <c r="G65" i="34"/>
  <c r="V86" i="50"/>
  <c r="W86" i="50" s="1"/>
  <c r="D74" i="52" s="1"/>
  <c r="F69" i="34" s="1"/>
  <c r="V86" i="51"/>
  <c r="W86" i="51" s="1"/>
  <c r="D75" i="52" s="1"/>
  <c r="F70" i="34" s="1"/>
  <c r="AA54" i="39"/>
  <c r="AB54" i="39" s="1"/>
  <c r="D70" i="52" s="1"/>
  <c r="AA52" i="40"/>
  <c r="AB52" i="40" s="1"/>
  <c r="D71" i="52" s="1"/>
  <c r="F67" i="34" s="1"/>
  <c r="AA53" i="41"/>
  <c r="AB53" i="41" s="1"/>
  <c r="AA53" i="32"/>
  <c r="AB53" i="32" s="1"/>
  <c r="D68" i="52" s="1"/>
  <c r="F66" i="34" s="1"/>
  <c r="AA53" i="38"/>
  <c r="AB53" i="38" s="1"/>
  <c r="D69" i="52" s="1"/>
  <c r="G50" i="41"/>
  <c r="G51" i="22"/>
  <c r="G51" i="39"/>
  <c r="G49" i="40"/>
  <c r="G50" i="32"/>
  <c r="G50" i="38"/>
  <c r="G83" i="50"/>
  <c r="G83" i="51"/>
  <c r="G83" i="49"/>
  <c r="G50" i="20"/>
  <c r="AA54" i="22"/>
  <c r="AB54" i="22" s="1"/>
  <c r="AA55" i="21"/>
  <c r="AB55" i="21" s="1"/>
  <c r="D66" i="52" s="1"/>
  <c r="H265" i="21" s="1" a="1"/>
  <c r="H265" i="21" s="1"/>
  <c r="V86" i="49"/>
  <c r="W86" i="49" s="1"/>
  <c r="D73" i="52" s="1"/>
  <c r="F68" i="34" s="1"/>
  <c r="O83" i="51"/>
  <c r="H244" i="21" a="1"/>
  <c r="H244" i="21" s="1"/>
  <c r="H241" i="21" a="1"/>
  <c r="H241" i="21" s="1"/>
  <c r="H246" i="21" a="1"/>
  <c r="H246" i="21" s="1"/>
  <c r="Y82" i="50"/>
  <c r="O83" i="50" s="1"/>
  <c r="Y82" i="49"/>
  <c r="O83" i="49" s="1"/>
  <c r="H290" i="41"/>
  <c r="H197" i="41" s="1"/>
  <c r="E65" i="34"/>
  <c r="H215" i="20" a="1"/>
  <c r="H215" i="20" s="1"/>
  <c r="H277" i="40"/>
  <c r="H276" i="40"/>
  <c r="H281" i="40"/>
  <c r="H187" i="40" s="1"/>
  <c r="H284" i="41"/>
  <c r="H189" i="41" s="1"/>
  <c r="H247" i="21" a="1"/>
  <c r="H247" i="21" s="1"/>
  <c r="H211" i="20"/>
  <c r="H242" i="21"/>
  <c r="H216" i="32" a="1"/>
  <c r="H216" i="32" s="1"/>
  <c r="H217" i="38" a="1"/>
  <c r="H217" i="38" s="1"/>
  <c r="H229" i="41" a="1"/>
  <c r="H229" i="41" s="1"/>
  <c r="H230" i="39" a="1"/>
  <c r="H230" i="39" s="1"/>
  <c r="O140" i="39"/>
  <c r="O131" i="38"/>
  <c r="H286" i="22" a="1"/>
  <c r="H286" i="22" s="1"/>
  <c r="H226" i="40" a="1"/>
  <c r="H226" i="40" s="1"/>
  <c r="O151" i="41"/>
  <c r="O150" i="40"/>
  <c r="O99" i="40"/>
  <c r="AI99" i="40" s="1"/>
  <c r="N99" i="40"/>
  <c r="AH99" i="40" s="1"/>
  <c r="N100" i="41"/>
  <c r="AH100" i="41" s="1"/>
  <c r="O92" i="38"/>
  <c r="AI92" i="38" s="1"/>
  <c r="N92" i="38"/>
  <c r="AH92" i="38" s="1"/>
  <c r="O100" i="41"/>
  <c r="AI100" i="41" s="1"/>
  <c r="H213" i="20" a="1"/>
  <c r="H213" i="20" s="1"/>
  <c r="H214" i="20" a="1"/>
  <c r="H214" i="20" s="1"/>
  <c r="H216" i="20" a="1"/>
  <c r="H216" i="20" s="1"/>
  <c r="D82" i="34"/>
  <c r="H211" i="32"/>
  <c r="H212" i="38"/>
  <c r="H224" i="41"/>
  <c r="H225" i="39"/>
  <c r="H221" i="40"/>
  <c r="H281" i="22"/>
  <c r="H210" i="20" a="1"/>
  <c r="H210" i="20" s="1"/>
  <c r="AD48" i="40"/>
  <c r="O49" i="40" s="1"/>
  <c r="AE51" i="21"/>
  <c r="O52" i="21" s="1"/>
  <c r="AE50" i="22"/>
  <c r="O51" i="22" s="1"/>
  <c r="AD49" i="32"/>
  <c r="O50" i="32" s="1"/>
  <c r="AD49" i="41"/>
  <c r="O50" i="41" s="1"/>
  <c r="AD50" i="39"/>
  <c r="O51" i="39" s="1"/>
  <c r="AD49" i="38"/>
  <c r="O50" i="38" s="1"/>
  <c r="AD49" i="20"/>
  <c r="O50" i="20" s="1"/>
  <c r="AA53" i="20"/>
  <c r="AB53" i="20" s="1"/>
  <c r="I39" i="34"/>
  <c r="I52" i="34"/>
  <c r="T65" i="34" s="1"/>
  <c r="T70" i="34" s="1"/>
  <c r="Y84" i="51" s="1"/>
  <c r="AA51" i="34"/>
  <c r="H249" i="32"/>
  <c r="O130" i="32"/>
  <c r="H248" i="32"/>
  <c r="O129" i="32"/>
  <c r="H247" i="32"/>
  <c r="Y121" i="32"/>
  <c r="H231" i="32" s="1"/>
  <c r="AK114" i="32"/>
  <c r="Y114" i="32"/>
  <c r="O114" i="32"/>
  <c r="AI114" i="32" s="1"/>
  <c r="AM114" i="32" s="1"/>
  <c r="AK113" i="32"/>
  <c r="Y113" i="32"/>
  <c r="O113" i="32"/>
  <c r="AI113" i="32" s="1"/>
  <c r="AM113" i="32" s="1"/>
  <c r="AK112" i="32"/>
  <c r="Y112" i="32"/>
  <c r="O112" i="32"/>
  <c r="AI112" i="32" s="1"/>
  <c r="AM112" i="32" s="1"/>
  <c r="AK111" i="32"/>
  <c r="Y111" i="32"/>
  <c r="O111" i="32"/>
  <c r="AK105" i="32"/>
  <c r="AB104" i="32"/>
  <c r="AA104" i="32"/>
  <c r="AC104" i="32" s="1"/>
  <c r="Y104" i="32"/>
  <c r="AB103" i="32"/>
  <c r="AA103" i="32"/>
  <c r="AC103" i="32" s="1"/>
  <c r="Y103" i="32"/>
  <c r="AB102" i="32"/>
  <c r="AA102" i="32"/>
  <c r="AC102" i="32" s="1"/>
  <c r="Y102" i="32"/>
  <c r="AB101" i="32"/>
  <c r="AA101" i="32"/>
  <c r="AC101" i="32" s="1"/>
  <c r="Y101" i="32"/>
  <c r="AB100" i="32"/>
  <c r="AA100" i="32"/>
  <c r="AC100" i="32" s="1"/>
  <c r="Y100" i="32"/>
  <c r="AB99" i="32"/>
  <c r="AA99" i="32"/>
  <c r="AC99" i="32" s="1"/>
  <c r="Y99" i="32"/>
  <c r="AB98" i="32"/>
  <c r="AA98" i="32"/>
  <c r="AC98" i="32" s="1"/>
  <c r="Y98" i="32"/>
  <c r="AK92" i="32"/>
  <c r="AJ92" i="32"/>
  <c r="H280" i="32" s="1"/>
  <c r="AB91" i="32" a="1"/>
  <c r="AB91" i="32" s="1"/>
  <c r="H227" i="32" s="1"/>
  <c r="AA91" i="32" a="1"/>
  <c r="AA91" i="32" s="1"/>
  <c r="Z91" i="32"/>
  <c r="Y91" i="32"/>
  <c r="O91" i="32"/>
  <c r="N91" i="32"/>
  <c r="AB90" i="32" a="1"/>
  <c r="AB90" i="32" s="1"/>
  <c r="H226" i="32" s="1"/>
  <c r="AA90" i="32" a="1"/>
  <c r="AA90" i="32" s="1"/>
  <c r="Z90" i="32"/>
  <c r="Y90" i="32"/>
  <c r="AB89" i="32" a="1"/>
  <c r="AB89" i="32" s="1"/>
  <c r="H225" i="32" s="1"/>
  <c r="AA89" i="32" a="1"/>
  <c r="AA89" i="32" s="1"/>
  <c r="Z89" i="32"/>
  <c r="Y89" i="32"/>
  <c r="AB88" i="32" a="1"/>
  <c r="AB88" i="32" s="1"/>
  <c r="H224" i="32" s="1"/>
  <c r="AA88" i="32" a="1"/>
  <c r="AA88" i="32" s="1"/>
  <c r="Z88" i="32"/>
  <c r="Y88" i="32"/>
  <c r="AB87" i="32" a="1"/>
  <c r="AB87" i="32" s="1"/>
  <c r="H223" i="32" s="1"/>
  <c r="AA87" i="32" a="1"/>
  <c r="AA87" i="32" s="1"/>
  <c r="Z87" i="32"/>
  <c r="Y87" i="32"/>
  <c r="AK81" i="32"/>
  <c r="Z80" i="32"/>
  <c r="Y80" i="32"/>
  <c r="O80" i="32"/>
  <c r="Z79" i="32"/>
  <c r="Y79" i="32"/>
  <c r="O79" i="32"/>
  <c r="Z78" i="32"/>
  <c r="Y78" i="32"/>
  <c r="O78" i="32"/>
  <c r="Z77" i="32"/>
  <c r="Y77" i="32"/>
  <c r="H246" i="32"/>
  <c r="I246" i="32"/>
  <c r="H245" i="32"/>
  <c r="AC42" i="32"/>
  <c r="Z42" i="32"/>
  <c r="Y42" i="32"/>
  <c r="AK36" i="32"/>
  <c r="AC35" i="32" a="1"/>
  <c r="AC35" i="32" s="1"/>
  <c r="AB35" i="32"/>
  <c r="H242" i="32" s="1"/>
  <c r="Z35" i="32"/>
  <c r="Y35" i="32"/>
  <c r="O35" i="32"/>
  <c r="AC34" i="32" a="1"/>
  <c r="AC34" i="32" s="1"/>
  <c r="AB34" i="32"/>
  <c r="H241" i="32" s="1"/>
  <c r="Z34" i="32"/>
  <c r="Y34" i="32"/>
  <c r="AC33" i="32" a="1"/>
  <c r="AC33" i="32" s="1"/>
  <c r="AB33" i="32"/>
  <c r="H240" i="32" s="1"/>
  <c r="Z33" i="32"/>
  <c r="Y33" i="32"/>
  <c r="AL92" i="20"/>
  <c r="AK92" i="20"/>
  <c r="AK101" i="21"/>
  <c r="AJ101" i="21"/>
  <c r="AA198" i="22"/>
  <c r="H355" i="22" s="1"/>
  <c r="Z198" i="22"/>
  <c r="H350" i="22" s="1"/>
  <c r="Y198" i="22"/>
  <c r="AA197" i="22"/>
  <c r="H354" i="22" s="1"/>
  <c r="Z197" i="22"/>
  <c r="H349" i="22" s="1"/>
  <c r="Y197" i="22"/>
  <c r="O197" i="22" s="1"/>
  <c r="AA196" i="22"/>
  <c r="H345" i="22" s="1"/>
  <c r="Z196" i="22"/>
  <c r="H340" i="22" s="1"/>
  <c r="Y196" i="22"/>
  <c r="O196" i="22" s="1"/>
  <c r="Y195" i="22"/>
  <c r="AA195" i="22"/>
  <c r="H344" i="22" s="1"/>
  <c r="Z195" i="22"/>
  <c r="H339" i="22" s="1"/>
  <c r="AB43" i="22"/>
  <c r="H295" i="22" s="1"/>
  <c r="Z43" i="22"/>
  <c r="Y43" i="22"/>
  <c r="AK45" i="21"/>
  <c r="Z44" i="21"/>
  <c r="Y44" i="21"/>
  <c r="E186" i="42"/>
  <c r="E126" i="43"/>
  <c r="E182" i="42"/>
  <c r="E125" i="43"/>
  <c r="E90" i="42"/>
  <c r="E172" i="42"/>
  <c r="E111" i="43"/>
  <c r="E103" i="43"/>
  <c r="E87" i="42"/>
  <c r="E78" i="44"/>
  <c r="E81" i="44"/>
  <c r="E89" i="42"/>
  <c r="E176" i="42"/>
  <c r="E93" i="42"/>
  <c r="E99" i="44"/>
  <c r="E35" i="44"/>
  <c r="E112" i="43"/>
  <c r="E83" i="44"/>
  <c r="E82" i="44"/>
  <c r="E129" i="43"/>
  <c r="E80" i="44"/>
  <c r="E84" i="44"/>
  <c r="E92" i="42"/>
  <c r="E128" i="43"/>
  <c r="E101" i="43"/>
  <c r="E107" i="43"/>
  <c r="E102" i="43"/>
  <c r="E89" i="43"/>
  <c r="F108" i="43"/>
  <c r="E181" i="42"/>
  <c r="E108" i="43"/>
  <c r="E145" i="43"/>
  <c r="E171" i="42"/>
  <c r="E187" i="42"/>
  <c r="E38" i="44"/>
  <c r="E97" i="44"/>
  <c r="E110" i="43"/>
  <c r="E91" i="42"/>
  <c r="E127" i="43"/>
  <c r="E177" i="42"/>
  <c r="E86" i="42"/>
  <c r="E77" i="44"/>
  <c r="O198" i="22" l="1"/>
  <c r="O195" i="22"/>
  <c r="G71" i="34"/>
  <c r="H234" i="20" a="1"/>
  <c r="H234" i="20" s="1"/>
  <c r="D65" i="52"/>
  <c r="D67" i="52"/>
  <c r="H303" i="22" s="1" a="1"/>
  <c r="H303" i="22" s="1"/>
  <c r="D72" i="52"/>
  <c r="H235" i="41" s="1" a="1"/>
  <c r="H235" i="41" s="1"/>
  <c r="Z84" i="49"/>
  <c r="Z85" i="49"/>
  <c r="Z84" i="51"/>
  <c r="O85" i="51" s="1"/>
  <c r="H117" i="51" s="1"/>
  <c r="Z85" i="51"/>
  <c r="Z85" i="50"/>
  <c r="Z84" i="50"/>
  <c r="O77" i="32"/>
  <c r="O81" i="32" s="1"/>
  <c r="AI81" i="32" s="1"/>
  <c r="Y84" i="50"/>
  <c r="Y84" i="49"/>
  <c r="H234" i="38"/>
  <c r="H285" i="40"/>
  <c r="H193" i="40" s="1"/>
  <c r="H289" i="41"/>
  <c r="H195" i="41" s="1"/>
  <c r="E71" i="34"/>
  <c r="G54" i="21" s="1"/>
  <c r="AD51" i="41"/>
  <c r="AD50" i="40"/>
  <c r="AD52" i="39"/>
  <c r="AD51" i="38"/>
  <c r="AD51" i="32"/>
  <c r="AE52" i="22"/>
  <c r="AE53" i="21"/>
  <c r="AD51" i="20"/>
  <c r="H219" i="32" a="1"/>
  <c r="H219" i="32" s="1"/>
  <c r="H250" i="21" a="1"/>
  <c r="H250" i="21" s="1"/>
  <c r="X22" i="34"/>
  <c r="E28" i="34" s="1"/>
  <c r="H233" i="39" a="1"/>
  <c r="H233" i="39" s="1"/>
  <c r="H219" i="20" a="1"/>
  <c r="H219" i="20" s="1"/>
  <c r="H232" i="41" a="1"/>
  <c r="H232" i="41" s="1"/>
  <c r="H229" i="40" a="1"/>
  <c r="H229" i="40" s="1"/>
  <c r="H289" i="22" a="1"/>
  <c r="H289" i="22" s="1"/>
  <c r="H220" i="38" a="1"/>
  <c r="H220" i="38" s="1"/>
  <c r="D11" i="45"/>
  <c r="W82" i="34"/>
  <c r="D81" i="34" s="1"/>
  <c r="I242" i="32"/>
  <c r="I225" i="32"/>
  <c r="I245" i="32"/>
  <c r="O89" i="32"/>
  <c r="O90" i="32"/>
  <c r="I226" i="32"/>
  <c r="N90" i="32"/>
  <c r="N89" i="32"/>
  <c r="O87" i="32"/>
  <c r="I224" i="32"/>
  <c r="I227" i="32"/>
  <c r="H230" i="32"/>
  <c r="H229" i="32"/>
  <c r="O128" i="32"/>
  <c r="O131" i="32" s="1"/>
  <c r="N88" i="32"/>
  <c r="O88" i="32"/>
  <c r="N87" i="32"/>
  <c r="I223" i="32"/>
  <c r="H236" i="39" a="1"/>
  <c r="H236" i="39" s="1"/>
  <c r="H223" i="38" a="1"/>
  <c r="H223" i="38" s="1"/>
  <c r="H232" i="40" a="1"/>
  <c r="H232" i="40" s="1"/>
  <c r="H222" i="32" a="1"/>
  <c r="H222" i="32" s="1"/>
  <c r="AE52" i="20"/>
  <c r="AE51" i="20"/>
  <c r="AE51" i="38"/>
  <c r="AE52" i="38"/>
  <c r="AF52" i="22"/>
  <c r="AF53" i="22"/>
  <c r="AF53" i="21"/>
  <c r="AF54" i="21"/>
  <c r="AE52" i="41"/>
  <c r="AE51" i="41"/>
  <c r="AE50" i="40"/>
  <c r="AE51" i="40"/>
  <c r="AE52" i="39"/>
  <c r="AE53" i="39"/>
  <c r="AE51" i="32"/>
  <c r="AE52" i="32"/>
  <c r="I50" i="34"/>
  <c r="T66" i="34" s="1"/>
  <c r="AA43" i="22"/>
  <c r="AA35" i="32"/>
  <c r="AD33" i="32"/>
  <c r="Z98" i="32"/>
  <c r="AA34" i="32"/>
  <c r="Z99" i="32"/>
  <c r="Z100" i="32"/>
  <c r="Z104" i="32"/>
  <c r="Z101" i="32"/>
  <c r="Z102" i="32"/>
  <c r="Z103" i="32"/>
  <c r="AD34" i="32"/>
  <c r="AA33" i="32"/>
  <c r="AD35" i="32"/>
  <c r="O115" i="32"/>
  <c r="O105" i="32"/>
  <c r="AI105" i="32" s="1"/>
  <c r="AI111" i="32"/>
  <c r="AM111" i="32" s="1"/>
  <c r="D314" i="3"/>
  <c r="D315" i="3"/>
  <c r="D316" i="3"/>
  <c r="D317" i="3"/>
  <c r="AE33" i="20" s="1"/>
  <c r="D313" i="3"/>
  <c r="E96" i="44"/>
  <c r="E97" i="42"/>
  <c r="E117" i="44"/>
  <c r="F125" i="43"/>
  <c r="E126" i="42"/>
  <c r="F129" i="43"/>
  <c r="F128" i="43"/>
  <c r="F126" i="43"/>
  <c r="F107" i="43"/>
  <c r="E160" i="44"/>
  <c r="E122" i="43"/>
  <c r="E88" i="44"/>
  <c r="E49" i="44"/>
  <c r="F103" i="43"/>
  <c r="E141" i="43"/>
  <c r="E93" i="43"/>
  <c r="F127" i="43"/>
  <c r="E83" i="43"/>
  <c r="E142" i="43"/>
  <c r="G61" i="22" l="1"/>
  <c r="G60" i="41"/>
  <c r="G61" i="39"/>
  <c r="G60" i="32"/>
  <c r="G60" i="38"/>
  <c r="G59" i="40"/>
  <c r="F65" i="34"/>
  <c r="F71" i="34" s="1"/>
  <c r="G55" i="21" s="1"/>
  <c r="G60" i="20"/>
  <c r="G62" i="21"/>
  <c r="G52" i="41"/>
  <c r="G53" i="22"/>
  <c r="G53" i="39"/>
  <c r="G51" i="40"/>
  <c r="G52" i="32"/>
  <c r="G52" i="38"/>
  <c r="G85" i="50"/>
  <c r="G85" i="51"/>
  <c r="G85" i="49"/>
  <c r="G52" i="20"/>
  <c r="H217" i="20" a="1"/>
  <c r="H217" i="20" s="1"/>
  <c r="O85" i="50"/>
  <c r="H117" i="50" s="1"/>
  <c r="O85" i="49"/>
  <c r="H117" i="49" s="1"/>
  <c r="H217" i="32" a="1"/>
  <c r="H217" i="32" s="1"/>
  <c r="H233" i="20" a="1"/>
  <c r="H233" i="20" s="1"/>
  <c r="H235" i="39" a="1"/>
  <c r="H235" i="39" s="1"/>
  <c r="H234" i="41" a="1"/>
  <c r="H234" i="41" s="1"/>
  <c r="H227" i="40" a="1"/>
  <c r="H227" i="40" s="1"/>
  <c r="H230" i="41" a="1"/>
  <c r="H230" i="41" s="1"/>
  <c r="H218" i="38" a="1"/>
  <c r="H218" i="38" s="1"/>
  <c r="H287" i="22" a="1"/>
  <c r="H287" i="22" s="1"/>
  <c r="H231" i="39" a="1"/>
  <c r="H231" i="39" s="1"/>
  <c r="AB44" i="21"/>
  <c r="H256" i="21" s="1"/>
  <c r="AB42" i="32"/>
  <c r="AA42" i="32" s="1"/>
  <c r="V13" i="34"/>
  <c r="I13" i="34" s="1"/>
  <c r="H248" i="21" a="1"/>
  <c r="H248" i="21" s="1"/>
  <c r="H222" i="38" a="1"/>
  <c r="H222" i="38" s="1"/>
  <c r="H302" i="22" a="1"/>
  <c r="H302" i="22" s="1"/>
  <c r="H221" i="32" a="1"/>
  <c r="H221" i="32" s="1"/>
  <c r="H231" i="40" a="1"/>
  <c r="H231" i="40" s="1"/>
  <c r="D13" i="45"/>
  <c r="D12" i="45"/>
  <c r="AB42" i="20"/>
  <c r="N92" i="32"/>
  <c r="AH92" i="32" s="1"/>
  <c r="O92" i="32"/>
  <c r="AI92" i="32" s="1"/>
  <c r="H233" i="32"/>
  <c r="AA60" i="32"/>
  <c r="AA60" i="38"/>
  <c r="AA61" i="39"/>
  <c r="AA59" i="40"/>
  <c r="AA62" i="21"/>
  <c r="AA60" i="41"/>
  <c r="AA61" i="22"/>
  <c r="AA60" i="20"/>
  <c r="E94" i="42"/>
  <c r="E119" i="43"/>
  <c r="E114" i="44"/>
  <c r="E90" i="43"/>
  <c r="E123" i="42"/>
  <c r="E85" i="44"/>
  <c r="AB43" i="20" l="1" a="1"/>
  <c r="AB43" i="20" s="1"/>
  <c r="H225" i="20" s="1"/>
  <c r="H290" i="20"/>
  <c r="AD32" i="20"/>
  <c r="O32" i="20" s="1"/>
  <c r="G86" i="51"/>
  <c r="G86" i="50"/>
  <c r="G54" i="39"/>
  <c r="G52" i="40"/>
  <c r="G53" i="20"/>
  <c r="G53" i="38"/>
  <c r="G54" i="22"/>
  <c r="G86" i="49"/>
  <c r="G53" i="32"/>
  <c r="G53" i="41"/>
  <c r="O60" i="38"/>
  <c r="AI60" i="38" s="1"/>
  <c r="O60" i="32"/>
  <c r="AI60" i="32" s="1"/>
  <c r="O62" i="21"/>
  <c r="AI62" i="21" s="1"/>
  <c r="O59" i="40"/>
  <c r="AI59" i="40" s="1"/>
  <c r="O61" i="39"/>
  <c r="AI61" i="39" s="1"/>
  <c r="O61" i="22"/>
  <c r="AI61" i="22" s="1"/>
  <c r="O60" i="41"/>
  <c r="AI60" i="41" s="1"/>
  <c r="O60" i="20"/>
  <c r="AJ60" i="20" s="1"/>
  <c r="H243" i="32" a="1"/>
  <c r="H243" i="32" s="1"/>
  <c r="AA44" i="21"/>
  <c r="AA41" i="20"/>
  <c r="H291" i="20"/>
  <c r="AK83" i="21"/>
  <c r="O178" i="22"/>
  <c r="O150" i="21"/>
  <c r="O151" i="21"/>
  <c r="O152" i="21"/>
  <c r="O149" i="21"/>
  <c r="O160" i="22"/>
  <c r="O161" i="22"/>
  <c r="O162" i="22"/>
  <c r="O79" i="22"/>
  <c r="O80" i="22"/>
  <c r="O81" i="22"/>
  <c r="O36" i="22"/>
  <c r="Z139" i="22"/>
  <c r="Z138" i="22"/>
  <c r="Z137" i="22"/>
  <c r="Z135" i="22"/>
  <c r="Z134" i="22"/>
  <c r="Z133" i="22"/>
  <c r="Z129" i="22"/>
  <c r="O36" i="21"/>
  <c r="E104" i="43"/>
  <c r="E108" i="42"/>
  <c r="H289" i="20" l="1"/>
  <c r="O80" i="20"/>
  <c r="H292" i="21"/>
  <c r="AC36" i="22" a="1"/>
  <c r="AC36" i="22" s="1"/>
  <c r="AB36" i="22"/>
  <c r="H294" i="22" s="1"/>
  <c r="Z36" i="22"/>
  <c r="AA36" i="22" s="1"/>
  <c r="AC35" i="22" a="1"/>
  <c r="AC35" i="22" s="1"/>
  <c r="AB35" i="22"/>
  <c r="H293" i="22" s="1"/>
  <c r="Z35" i="22"/>
  <c r="AA35" i="22" s="1"/>
  <c r="AC34" i="22" a="1"/>
  <c r="AC34" i="22" s="1"/>
  <c r="AB34" i="22"/>
  <c r="H292" i="22" s="1"/>
  <c r="Z34" i="22"/>
  <c r="AA34" i="22" s="1"/>
  <c r="AK38" i="21"/>
  <c r="AC36" i="21" a="1"/>
  <c r="AC36" i="21" s="1"/>
  <c r="AB36" i="21"/>
  <c r="H255" i="21" s="1"/>
  <c r="Z36" i="21"/>
  <c r="AA36" i="21" s="1"/>
  <c r="AC35" i="21" a="1"/>
  <c r="AC35" i="21" s="1"/>
  <c r="AB35" i="21"/>
  <c r="H254" i="21" s="1"/>
  <c r="Z35" i="21"/>
  <c r="AA35" i="21" s="1"/>
  <c r="AC34" i="21" a="1"/>
  <c r="AC34" i="21" s="1"/>
  <c r="AB34" i="21"/>
  <c r="H253" i="21" s="1"/>
  <c r="AC33" i="20" a="1"/>
  <c r="AC33" i="20" s="1"/>
  <c r="AC34" i="20" a="1"/>
  <c r="AC34" i="20" s="1"/>
  <c r="AA187" i="22"/>
  <c r="AA188" i="22"/>
  <c r="AA186" i="22"/>
  <c r="Z81" i="22"/>
  <c r="Y81" i="22"/>
  <c r="Z80" i="22"/>
  <c r="Y80" i="22"/>
  <c r="Z79" i="22"/>
  <c r="Y79" i="22"/>
  <c r="Z78" i="22"/>
  <c r="Y78" i="22"/>
  <c r="Z82" i="21"/>
  <c r="Y82" i="21"/>
  <c r="Z81" i="21"/>
  <c r="Y81" i="21"/>
  <c r="Z80" i="21"/>
  <c r="Y80" i="21"/>
  <c r="Z79" i="21"/>
  <c r="Y79" i="21"/>
  <c r="AL81" i="20"/>
  <c r="Y80" i="20"/>
  <c r="Z80" i="20"/>
  <c r="Y78" i="20"/>
  <c r="Z78" i="20"/>
  <c r="Y79" i="20"/>
  <c r="Z79" i="20"/>
  <c r="Z77" i="20"/>
  <c r="Y77" i="20"/>
  <c r="O77" i="20" s="1"/>
  <c r="AD100" i="21"/>
  <c r="AD99" i="21"/>
  <c r="AD98" i="21"/>
  <c r="AD97" i="21"/>
  <c r="AD96" i="21"/>
  <c r="AC95" i="22" a="1"/>
  <c r="AC95" i="22" s="1"/>
  <c r="H304" i="22" s="1"/>
  <c r="AB95" i="22" a="1"/>
  <c r="AB95" i="22" s="1"/>
  <c r="Z95" i="22"/>
  <c r="AA95" i="22" s="1" a="1"/>
  <c r="AA95" i="22" s="1"/>
  <c r="Y95" i="22"/>
  <c r="Z89" i="21"/>
  <c r="H286" i="21" s="1"/>
  <c r="AC96" i="21" a="1"/>
  <c r="AC96" i="21" s="1"/>
  <c r="H266" i="21" s="1"/>
  <c r="AB96" i="21" a="1"/>
  <c r="AB96" i="21" s="1"/>
  <c r="Z96" i="21"/>
  <c r="AA96" i="21" s="1" a="1"/>
  <c r="AA96" i="21" s="1"/>
  <c r="Y96" i="21"/>
  <c r="E158" i="42"/>
  <c r="H287" i="21" l="1"/>
  <c r="N96" i="21"/>
  <c r="I266" i="21"/>
  <c r="O96" i="21"/>
  <c r="I255" i="21"/>
  <c r="I304" i="22"/>
  <c r="I294" i="22"/>
  <c r="AD34" i="20"/>
  <c r="AD34" i="21"/>
  <c r="AD35" i="21"/>
  <c r="AD36" i="21"/>
  <c r="AD33" i="20"/>
  <c r="AD34" i="22"/>
  <c r="AD35" i="22"/>
  <c r="AD36" i="22"/>
  <c r="O79" i="20"/>
  <c r="O78" i="20"/>
  <c r="O78" i="22"/>
  <c r="O79" i="21"/>
  <c r="O80" i="21"/>
  <c r="O82" i="21"/>
  <c r="O81" i="21"/>
  <c r="AB99" i="22" a="1"/>
  <c r="AB99" i="22" s="1"/>
  <c r="AB98" i="22" a="1"/>
  <c r="AB98" i="22" s="1"/>
  <c r="AB97" i="22" a="1"/>
  <c r="AB97" i="22" s="1"/>
  <c r="AB96" i="22" a="1"/>
  <c r="AB96" i="22" s="1"/>
  <c r="AB100" i="21" a="1"/>
  <c r="AB100" i="21" s="1"/>
  <c r="AB99" i="21" a="1"/>
  <c r="AB99" i="21" s="1"/>
  <c r="AB98" i="21" a="1"/>
  <c r="AB98" i="21" s="1"/>
  <c r="AB97" i="21" a="1"/>
  <c r="AB97" i="21" s="1"/>
  <c r="AB91" i="20" a="1"/>
  <c r="AB91" i="20" s="1"/>
  <c r="AB90" i="20" a="1"/>
  <c r="AB90" i="20" s="1"/>
  <c r="AB89" i="20" a="1"/>
  <c r="AB89" i="20" s="1"/>
  <c r="AB88" i="20" a="1"/>
  <c r="AB88" i="20" s="1"/>
  <c r="AB87" i="20" a="1"/>
  <c r="AB87" i="20" s="1"/>
  <c r="AB137" i="20"/>
  <c r="AC91" i="20" a="1"/>
  <c r="AC91" i="20" s="1"/>
  <c r="Y91" i="20"/>
  <c r="H238" i="20"/>
  <c r="Y90" i="20"/>
  <c r="AC89" i="20" a="1"/>
  <c r="AC89" i="20" s="1"/>
  <c r="H237" i="20" s="1"/>
  <c r="Y89" i="20"/>
  <c r="AC88" i="20" a="1"/>
  <c r="AC88" i="20" s="1"/>
  <c r="H236" i="20" s="1"/>
  <c r="Y88" i="20"/>
  <c r="H235" i="20"/>
  <c r="Y87" i="20"/>
  <c r="AC100" i="21" a="1"/>
  <c r="AC100" i="21" s="1"/>
  <c r="H270" i="21" s="1"/>
  <c r="Z100" i="21"/>
  <c r="AA100" i="21" s="1" a="1"/>
  <c r="AA100" i="21" s="1"/>
  <c r="Y100" i="21"/>
  <c r="AC99" i="21" a="1"/>
  <c r="AC99" i="21" s="1"/>
  <c r="H269" i="21" s="1"/>
  <c r="Z99" i="21"/>
  <c r="AA99" i="21" s="1" a="1"/>
  <c r="AA99" i="21" s="1"/>
  <c r="Y99" i="21"/>
  <c r="AC98" i="21" a="1"/>
  <c r="AC98" i="21" s="1"/>
  <c r="H268" i="21" s="1"/>
  <c r="Z98" i="21"/>
  <c r="AA98" i="21" s="1" a="1"/>
  <c r="AA98" i="21" s="1"/>
  <c r="Y98" i="21"/>
  <c r="Z97" i="21"/>
  <c r="AA97" i="21" s="1" a="1"/>
  <c r="AA97" i="21" s="1"/>
  <c r="Y97" i="21"/>
  <c r="AD206" i="22"/>
  <c r="H352" i="22" s="1"/>
  <c r="AD207" i="22"/>
  <c r="H353" i="22" s="1"/>
  <c r="AD205" i="22"/>
  <c r="H351" i="22" s="1"/>
  <c r="E159" i="42"/>
  <c r="E183" i="42"/>
  <c r="E185" i="42"/>
  <c r="E184" i="42"/>
  <c r="E129" i="42"/>
  <c r="I236" i="20" l="1"/>
  <c r="I270" i="21"/>
  <c r="I269" i="21"/>
  <c r="I268" i="21"/>
  <c r="I267" i="21"/>
  <c r="H335" i="22"/>
  <c r="I235" i="20"/>
  <c r="I238" i="20"/>
  <c r="I237" i="20"/>
  <c r="H273" i="20"/>
  <c r="O81" i="20"/>
  <c r="AJ81" i="20" s="1"/>
  <c r="O83" i="21"/>
  <c r="AI83" i="21" s="1"/>
  <c r="O82" i="22"/>
  <c r="AI82" i="22" s="1"/>
  <c r="Y147" i="22"/>
  <c r="H330" i="22" s="1"/>
  <c r="AJ100" i="22"/>
  <c r="AK100" i="22"/>
  <c r="AC99" i="22" a="1"/>
  <c r="AC99" i="22" s="1"/>
  <c r="H308" i="22" s="1"/>
  <c r="Z99" i="22"/>
  <c r="AA99" i="22" s="1" a="1"/>
  <c r="AA99" i="22" s="1"/>
  <c r="Y99" i="22"/>
  <c r="AC98" i="22" a="1"/>
  <c r="AC98" i="22" s="1"/>
  <c r="H307" i="22" s="1"/>
  <c r="Z98" i="22"/>
  <c r="AA98" i="22" s="1" a="1"/>
  <c r="AA98" i="22" s="1"/>
  <c r="Y98" i="22"/>
  <c r="AC97" i="22" a="1"/>
  <c r="AC97" i="22" s="1"/>
  <c r="H306" i="22" s="1"/>
  <c r="Z97" i="22"/>
  <c r="AA97" i="22" s="1" a="1"/>
  <c r="AA97" i="22" s="1"/>
  <c r="Y97" i="22"/>
  <c r="AC96" i="22" a="1"/>
  <c r="AC96" i="22" s="1"/>
  <c r="H305" i="22" s="1"/>
  <c r="Z96" i="22"/>
  <c r="AA96" i="22" s="1" a="1"/>
  <c r="AA96" i="22" s="1"/>
  <c r="Y96" i="22"/>
  <c r="E133" i="42"/>
  <c r="E132" i="42"/>
  <c r="E131" i="42"/>
  <c r="F129" i="42"/>
  <c r="E166" i="42"/>
  <c r="E200" i="42"/>
  <c r="I308" i="22" l="1"/>
  <c r="I305" i="22"/>
  <c r="I306" i="22"/>
  <c r="I307" i="22"/>
  <c r="Y149" i="22"/>
  <c r="Y152" i="22"/>
  <c r="H334" i="22" s="1"/>
  <c r="Y151" i="22"/>
  <c r="H333" i="22" s="1"/>
  <c r="Y150" i="22"/>
  <c r="Y148" i="22"/>
  <c r="O92" i="20"/>
  <c r="AJ92" i="20" s="1"/>
  <c r="N92" i="20"/>
  <c r="AI92" i="20" s="1"/>
  <c r="F131" i="42"/>
  <c r="F132" i="42"/>
  <c r="F133" i="42"/>
  <c r="F130" i="42"/>
  <c r="H331" i="22" l="1"/>
  <c r="H382" i="22"/>
  <c r="H251" i="22" s="1"/>
  <c r="H376" i="22"/>
  <c r="H245" i="22" s="1"/>
  <c r="O148" i="22"/>
  <c r="H373" i="22"/>
  <c r="H242" i="22" s="1"/>
  <c r="H338" i="22"/>
  <c r="H332" i="22"/>
  <c r="AL111" i="20"/>
  <c r="AN111" i="20" s="1"/>
  <c r="AF187" i="22"/>
  <c r="H347" i="22" s="1"/>
  <c r="AF188" i="22"/>
  <c r="H346" i="22" s="1"/>
  <c r="AF186" i="22"/>
  <c r="H348" i="22" s="1"/>
  <c r="AE187" i="22"/>
  <c r="AE188" i="22"/>
  <c r="AE186" i="22"/>
  <c r="E178" i="42"/>
  <c r="E179" i="42"/>
  <c r="AK159" i="22" l="1"/>
  <c r="AK160" i="22"/>
  <c r="AK161" i="22"/>
  <c r="AK162" i="22"/>
  <c r="AK90" i="21"/>
  <c r="AK150" i="21"/>
  <c r="AM150" i="21" s="1"/>
  <c r="AK151" i="21"/>
  <c r="AM151" i="21" s="1"/>
  <c r="AK152" i="21"/>
  <c r="AK149" i="21"/>
  <c r="AM149" i="21" s="1"/>
  <c r="Y162" i="22"/>
  <c r="AI162" i="22" s="1"/>
  <c r="AM162" i="22" s="1"/>
  <c r="Y161" i="22"/>
  <c r="AI161" i="22" s="1"/>
  <c r="AM161" i="22" s="1"/>
  <c r="Y160" i="22"/>
  <c r="AI160" i="22" s="1"/>
  <c r="AM160" i="22" s="1"/>
  <c r="Y159" i="22"/>
  <c r="O159" i="22" s="1"/>
  <c r="Y152" i="21"/>
  <c r="Y151" i="21"/>
  <c r="Y150" i="21"/>
  <c r="AI150" i="21" s="1"/>
  <c r="Y149" i="21"/>
  <c r="AI149" i="21" s="1"/>
  <c r="AL71" i="20"/>
  <c r="Y112" i="20"/>
  <c r="Y113" i="20"/>
  <c r="Y114" i="20"/>
  <c r="Y111" i="20"/>
  <c r="AL112" i="20"/>
  <c r="AN112" i="20" s="1"/>
  <c r="AL113" i="20"/>
  <c r="AN113" i="20" s="1"/>
  <c r="AL114" i="20"/>
  <c r="AN114" i="20" s="1"/>
  <c r="AL105" i="20"/>
  <c r="AL35" i="20"/>
  <c r="H305" i="20" s="1"/>
  <c r="AB138" i="22"/>
  <c r="AB139" i="22"/>
  <c r="AB137" i="22"/>
  <c r="AB134" i="22"/>
  <c r="AB135" i="22"/>
  <c r="AB133" i="22"/>
  <c r="AB131" i="22"/>
  <c r="AB130" i="22"/>
  <c r="AB129" i="22"/>
  <c r="O111" i="20" l="1"/>
  <c r="AJ111" i="20" s="1"/>
  <c r="H304" i="20" s="1"/>
  <c r="H298" i="20"/>
  <c r="AM152" i="21"/>
  <c r="H329" i="21" s="1"/>
  <c r="G329" i="21" s="1"/>
  <c r="H331" i="21"/>
  <c r="G331" i="21" s="1"/>
  <c r="H367" i="22"/>
  <c r="H235" i="22" s="1"/>
  <c r="O114" i="20"/>
  <c r="AJ114" i="20" s="1"/>
  <c r="O112" i="20"/>
  <c r="AJ112" i="20" s="1"/>
  <c r="H299" i="20" s="1"/>
  <c r="O113" i="20"/>
  <c r="AJ113" i="20" s="1"/>
  <c r="AI151" i="21"/>
  <c r="AI152" i="21"/>
  <c r="O163" i="22"/>
  <c r="AI159" i="22"/>
  <c r="AM159" i="22" s="1"/>
  <c r="AB128" i="21"/>
  <c r="AB129" i="21"/>
  <c r="AB127" i="21"/>
  <c r="AD140" i="22"/>
  <c r="AD130" i="21"/>
  <c r="H328" i="21" l="1"/>
  <c r="G328" i="21" s="1"/>
  <c r="H196" i="21"/>
  <c r="H365" i="22"/>
  <c r="H366" i="22"/>
  <c r="H364" i="22"/>
  <c r="O115" i="20"/>
  <c r="O153" i="21"/>
  <c r="AB121" i="22" l="1"/>
  <c r="AD133" i="22"/>
  <c r="AD134" i="22"/>
  <c r="AD135" i="22"/>
  <c r="AD137" i="22"/>
  <c r="AD138" i="22"/>
  <c r="AD139" i="22"/>
  <c r="AC139" i="22" a="1"/>
  <c r="AC139" i="22" s="1"/>
  <c r="AC138" i="22" a="1"/>
  <c r="AC138" i="22" s="1"/>
  <c r="AC137" i="22" a="1"/>
  <c r="AC137" i="22" s="1"/>
  <c r="AC135" i="22" a="1"/>
  <c r="AC135" i="22" s="1"/>
  <c r="AC134" i="22" a="1"/>
  <c r="AC134" i="22" s="1"/>
  <c r="AC133" i="22" a="1"/>
  <c r="AC133" i="22" s="1"/>
  <c r="AC121" i="22" l="1"/>
  <c r="AB120" i="22"/>
  <c r="AA207" i="22"/>
  <c r="H358" i="22" s="1"/>
  <c r="AA206" i="22"/>
  <c r="H357" i="22" s="1"/>
  <c r="AA205" i="22"/>
  <c r="H356" i="22" s="1"/>
  <c r="H301" i="22"/>
  <c r="H299" i="22"/>
  <c r="Y169" i="22"/>
  <c r="H337" i="22" s="1"/>
  <c r="O150" i="22"/>
  <c r="AC131" i="22" a="1"/>
  <c r="AC131" i="22" s="1"/>
  <c r="Z131" i="22"/>
  <c r="Y131" i="22"/>
  <c r="AC130" i="22" a="1"/>
  <c r="AC130" i="22" s="1"/>
  <c r="Z130" i="22"/>
  <c r="Y130" i="22"/>
  <c r="AC129" i="22" a="1"/>
  <c r="AC129" i="22" s="1"/>
  <c r="AB119" i="22"/>
  <c r="AB112" i="22"/>
  <c r="AA112" i="22"/>
  <c r="AC112" i="22" s="1"/>
  <c r="Y112" i="22"/>
  <c r="AB111" i="22"/>
  <c r="AA111" i="22"/>
  <c r="AC111" i="22" s="1"/>
  <c r="Y111" i="22"/>
  <c r="AB110" i="22"/>
  <c r="AA110" i="22"/>
  <c r="AC110" i="22" s="1"/>
  <c r="Y110" i="22"/>
  <c r="AB109" i="22"/>
  <c r="AA109" i="22"/>
  <c r="AC109" i="22" s="1"/>
  <c r="Y109" i="22"/>
  <c r="AB108" i="22"/>
  <c r="AA108" i="22"/>
  <c r="AC108" i="22" s="1"/>
  <c r="Y108" i="22"/>
  <c r="AB107" i="22"/>
  <c r="AA107" i="22"/>
  <c r="AC107" i="22" s="1"/>
  <c r="Y107" i="22"/>
  <c r="AB106" i="22"/>
  <c r="AA106" i="22"/>
  <c r="AC106" i="22" s="1"/>
  <c r="Y106" i="22"/>
  <c r="Y159" i="21"/>
  <c r="AC129" i="21" a="1"/>
  <c r="AC129" i="21" s="1"/>
  <c r="Z129" i="21"/>
  <c r="Y129" i="21"/>
  <c r="AC128" i="21" a="1"/>
  <c r="AC128" i="21" s="1"/>
  <c r="Z128" i="21"/>
  <c r="Y128" i="21"/>
  <c r="AC127" i="21" a="1"/>
  <c r="AC127" i="21" s="1"/>
  <c r="Z127" i="21"/>
  <c r="Y127" i="21"/>
  <c r="AC120" i="21"/>
  <c r="AB120" i="21"/>
  <c r="Z137" i="20"/>
  <c r="Y137" i="20"/>
  <c r="H232" i="20"/>
  <c r="H231" i="20"/>
  <c r="Y121" i="20"/>
  <c r="AB104" i="20"/>
  <c r="AA104" i="20"/>
  <c r="AC104" i="20" s="1"/>
  <c r="Y104" i="20"/>
  <c r="AB103" i="20"/>
  <c r="AA103" i="20"/>
  <c r="AC103" i="20" s="1"/>
  <c r="Y103" i="20"/>
  <c r="AB102" i="20"/>
  <c r="AA102" i="20"/>
  <c r="AC102" i="20" s="1"/>
  <c r="Y102" i="20"/>
  <c r="AB101" i="20"/>
  <c r="AA101" i="20"/>
  <c r="AC101" i="20" s="1"/>
  <c r="Y101" i="20"/>
  <c r="AB100" i="20"/>
  <c r="AA100" i="20"/>
  <c r="AC100" i="20" s="1"/>
  <c r="Y100" i="20"/>
  <c r="AB99" i="20"/>
  <c r="AA99" i="20"/>
  <c r="AC99" i="20" s="1"/>
  <c r="Y99" i="20"/>
  <c r="AB98" i="20"/>
  <c r="AA98" i="20"/>
  <c r="AC98" i="20" s="1"/>
  <c r="Y98" i="20"/>
  <c r="Y70" i="20"/>
  <c r="H229" i="20" s="1"/>
  <c r="Y69" i="20"/>
  <c r="H228" i="20" s="1"/>
  <c r="H227" i="20"/>
  <c r="Z42" i="20"/>
  <c r="Y42" i="20"/>
  <c r="AB34" i="20"/>
  <c r="H224" i="20" s="1"/>
  <c r="Z34" i="20"/>
  <c r="AA34" i="20" s="1"/>
  <c r="AB33" i="20"/>
  <c r="H223" i="20" s="1"/>
  <c r="Z33" i="20"/>
  <c r="AA33" i="20" s="1"/>
  <c r="D107" i="42"/>
  <c r="E106" i="42"/>
  <c r="E188" i="42"/>
  <c r="E190" i="42"/>
  <c r="E110" i="42"/>
  <c r="F112" i="42"/>
  <c r="F111" i="42"/>
  <c r="D112" i="42"/>
  <c r="E107" i="42"/>
  <c r="E112" i="42"/>
  <c r="E189" i="42"/>
  <c r="E111" i="42"/>
  <c r="H299" i="21" l="1"/>
  <c r="H222" i="20"/>
  <c r="H230" i="20"/>
  <c r="H266" i="20"/>
  <c r="O168" i="21"/>
  <c r="O177" i="22"/>
  <c r="H300" i="22"/>
  <c r="H336" i="22"/>
  <c r="H278" i="20"/>
  <c r="H267" i="20"/>
  <c r="O130" i="20"/>
  <c r="O129" i="20"/>
  <c r="Z205" i="22"/>
  <c r="Z206" i="22"/>
  <c r="Z207" i="22"/>
  <c r="O70" i="20"/>
  <c r="O68" i="20"/>
  <c r="O69" i="20"/>
  <c r="O34" i="20"/>
  <c r="I224" i="20" s="1"/>
  <c r="O151" i="22"/>
  <c r="O152" i="22"/>
  <c r="Z98" i="20"/>
  <c r="O98" i="20" s="1"/>
  <c r="Z106" i="22"/>
  <c r="Z107" i="22"/>
  <c r="Z108" i="22"/>
  <c r="Z110" i="22"/>
  <c r="O199" i="22"/>
  <c r="H380" i="22" s="1"/>
  <c r="H249" i="22" s="1"/>
  <c r="Z112" i="22"/>
  <c r="Z109" i="22"/>
  <c r="Z111" i="22"/>
  <c r="O149" i="22"/>
  <c r="Z103" i="20"/>
  <c r="Z99" i="20"/>
  <c r="O99" i="20" s="1"/>
  <c r="Z101" i="20"/>
  <c r="Z102" i="20"/>
  <c r="Z104" i="20"/>
  <c r="Z100" i="20"/>
  <c r="F107" i="42"/>
  <c r="E180" i="42"/>
  <c r="E105" i="42"/>
  <c r="E167" i="42"/>
  <c r="E168" i="42"/>
  <c r="F110" i="42"/>
  <c r="E57" i="42"/>
  <c r="E116" i="42"/>
  <c r="E114" i="42"/>
  <c r="E115" i="42"/>
  <c r="O153" i="22" l="1"/>
  <c r="O113" i="22"/>
  <c r="O71" i="20"/>
  <c r="O105" i="20"/>
  <c r="D91" i="3"/>
  <c r="C91" i="3"/>
  <c r="Y89" i="21" l="1"/>
  <c r="AJ71" i="20"/>
  <c r="H300" i="20" s="1"/>
  <c r="H165" i="20" s="1"/>
  <c r="AJ105" i="20"/>
  <c r="H303" i="20" s="1"/>
  <c r="H168" i="20" s="1"/>
  <c r="AI113" i="22"/>
  <c r="H288" i="21" l="1"/>
  <c r="O89" i="21"/>
  <c r="O90" i="21" s="1"/>
  <c r="AI90" i="21" s="1"/>
  <c r="H330" i="21" s="1"/>
  <c r="G330" i="21" s="1"/>
  <c r="C298" i="3"/>
  <c r="D298" i="3"/>
  <c r="C297" i="3"/>
  <c r="C292" i="3"/>
  <c r="E37" i="42"/>
  <c r="E160" i="42"/>
  <c r="Z15" i="41" l="1"/>
  <c r="Z88" i="39"/>
  <c r="H257" i="39" s="1"/>
  <c r="Y22" i="20"/>
  <c r="G305" i="20" s="1"/>
  <c r="Y14" i="32"/>
  <c r="H201" i="32" s="1"/>
  <c r="Y14" i="40"/>
  <c r="H267" i="40" s="1"/>
  <c r="Y24" i="22"/>
  <c r="Y23" i="41"/>
  <c r="Y22" i="40"/>
  <c r="Y23" i="38"/>
  <c r="H210" i="38" s="1"/>
  <c r="Y23" i="32"/>
  <c r="G280" i="32" s="1"/>
  <c r="Y15" i="41"/>
  <c r="H271" i="41" s="1"/>
  <c r="H258" i="39"/>
  <c r="Y14" i="38"/>
  <c r="H202" i="38" s="1"/>
  <c r="Y17" i="22"/>
  <c r="H270" i="22" s="1"/>
  <c r="Y15" i="20"/>
  <c r="H200" i="20" s="1"/>
  <c r="AC97" i="21" a="1"/>
  <c r="AC97" i="21" s="1"/>
  <c r="AA42" i="20"/>
  <c r="AA43" i="20" s="1" a="1"/>
  <c r="AA43" i="20" s="1"/>
  <c r="C67" i="3"/>
  <c r="C68" i="3"/>
  <c r="C66" i="3"/>
  <c r="C97" i="3"/>
  <c r="D97" i="3"/>
  <c r="D96" i="3"/>
  <c r="C96" i="3"/>
  <c r="H101" i="3"/>
  <c r="H102" i="3"/>
  <c r="H103" i="3"/>
  <c r="H104" i="3"/>
  <c r="H105" i="3"/>
  <c r="H106" i="3"/>
  <c r="H107" i="3"/>
  <c r="H108" i="3"/>
  <c r="H109" i="3"/>
  <c r="H110" i="3"/>
  <c r="H111" i="3"/>
  <c r="H112" i="3"/>
  <c r="H113" i="3"/>
  <c r="H114" i="3"/>
  <c r="H115" i="3"/>
  <c r="H116" i="3"/>
  <c r="H117" i="3"/>
  <c r="H118" i="3"/>
  <c r="H119" i="3"/>
  <c r="H120" i="3"/>
  <c r="G72" i="3"/>
  <c r="C209" i="3" s="1"/>
  <c r="G73" i="3"/>
  <c r="G74" i="3"/>
  <c r="G75" i="3"/>
  <c r="G76" i="3"/>
  <c r="G77" i="3"/>
  <c r="G78" i="3"/>
  <c r="G79" i="3"/>
  <c r="G80" i="3"/>
  <c r="G81" i="3"/>
  <c r="G82" i="3"/>
  <c r="G83" i="3"/>
  <c r="G84" i="3"/>
  <c r="G85" i="3"/>
  <c r="G41" i="3"/>
  <c r="C210" i="3" s="1"/>
  <c r="G42" i="3"/>
  <c r="C211" i="3" s="1"/>
  <c r="G43" i="3"/>
  <c r="G44" i="3"/>
  <c r="G45" i="3"/>
  <c r="G46" i="3"/>
  <c r="G47" i="3"/>
  <c r="G48" i="3"/>
  <c r="G49" i="3"/>
  <c r="G50" i="3"/>
  <c r="G51" i="3"/>
  <c r="G52" i="3"/>
  <c r="C214" i="3" s="1"/>
  <c r="G53" i="3"/>
  <c r="G54" i="3"/>
  <c r="G55" i="3"/>
  <c r="G56" i="3"/>
  <c r="G57" i="3"/>
  <c r="G58" i="3"/>
  <c r="E130" i="42"/>
  <c r="E9" i="43"/>
  <c r="E9" i="44"/>
  <c r="E164" i="43"/>
  <c r="E10" i="42"/>
  <c r="G295" i="41" l="1"/>
  <c r="G297" i="41"/>
  <c r="H222" i="41"/>
  <c r="G296" i="41"/>
  <c r="H267" i="21"/>
  <c r="O97" i="21"/>
  <c r="O101" i="21" s="1"/>
  <c r="AI101" i="21" s="1"/>
  <c r="N97" i="21"/>
  <c r="N101" i="21" s="1"/>
  <c r="AH101" i="21" s="1"/>
  <c r="G292" i="40"/>
  <c r="H213" i="40"/>
  <c r="H208" i="40"/>
  <c r="C60" i="52" s="1"/>
  <c r="H219" i="40"/>
  <c r="H279" i="22"/>
  <c r="G386" i="22"/>
  <c r="G319" i="20"/>
  <c r="H209" i="20"/>
  <c r="H195" i="38"/>
  <c r="C45" i="52" s="1"/>
  <c r="G290" i="40"/>
  <c r="G306" i="20"/>
  <c r="G287" i="41"/>
  <c r="G293" i="41"/>
  <c r="G316" i="20"/>
  <c r="G312" i="20"/>
  <c r="G315" i="20"/>
  <c r="G314" i="20"/>
  <c r="G313" i="20"/>
  <c r="G311" i="20"/>
  <c r="G310" i="20"/>
  <c r="G288" i="40"/>
  <c r="G283" i="40"/>
  <c r="G289" i="40"/>
  <c r="G287" i="40"/>
  <c r="G285" i="40"/>
  <c r="G292" i="41"/>
  <c r="G291" i="41"/>
  <c r="G290" i="41"/>
  <c r="G289" i="41"/>
  <c r="G286" i="41"/>
  <c r="G382" i="22"/>
  <c r="G380" i="22"/>
  <c r="G376" i="22"/>
  <c r="G373" i="22"/>
  <c r="G278" i="40"/>
  <c r="G282" i="40"/>
  <c r="G277" i="40"/>
  <c r="G276" i="40"/>
  <c r="G281" i="40"/>
  <c r="G280" i="41"/>
  <c r="G281" i="41"/>
  <c r="G279" i="41"/>
  <c r="G285" i="41"/>
  <c r="G284" i="41"/>
  <c r="G298" i="20"/>
  <c r="G299" i="20"/>
  <c r="G304" i="20"/>
  <c r="G303" i="20"/>
  <c r="G300" i="20"/>
  <c r="G367" i="22"/>
  <c r="G365" i="22"/>
  <c r="G364" i="22"/>
  <c r="G366" i="22"/>
  <c r="O42" i="32"/>
  <c r="O43" i="32" s="1"/>
  <c r="AI43" i="32" s="1"/>
  <c r="O41" i="20"/>
  <c r="H240" i="21"/>
  <c r="AC129" i="20"/>
  <c r="Y129" i="20" s="1"/>
  <c r="I231" i="20" s="1"/>
  <c r="AC176" i="22"/>
  <c r="Y176" i="22" s="1"/>
  <c r="AC128" i="32"/>
  <c r="Y128" i="32" s="1"/>
  <c r="I247" i="32" s="1"/>
  <c r="AC128" i="38"/>
  <c r="Y128" i="38" s="1"/>
  <c r="I248" i="38" s="1"/>
  <c r="AC137" i="39"/>
  <c r="Y137" i="39" s="1"/>
  <c r="I267" i="39" s="1"/>
  <c r="AC147" i="40"/>
  <c r="Y147" i="40" s="1"/>
  <c r="I245" i="40" s="1"/>
  <c r="AC166" i="21"/>
  <c r="Y166" i="21" s="1"/>
  <c r="AC128" i="20"/>
  <c r="Y128" i="20" s="1"/>
  <c r="AC149" i="40"/>
  <c r="Y149" i="40" s="1"/>
  <c r="I247" i="40" s="1"/>
  <c r="AC150" i="41"/>
  <c r="Y150" i="41" s="1"/>
  <c r="I250" i="41" s="1"/>
  <c r="AC130" i="32"/>
  <c r="Y130" i="32" s="1"/>
  <c r="I249" i="32" s="1"/>
  <c r="AC130" i="38"/>
  <c r="Y130" i="38" s="1"/>
  <c r="I250" i="38" s="1"/>
  <c r="AC139" i="39"/>
  <c r="Y139" i="39" s="1"/>
  <c r="I269" i="39" s="1"/>
  <c r="AC149" i="41"/>
  <c r="Y149" i="41" s="1"/>
  <c r="I249" i="41" s="1"/>
  <c r="AC178" i="22"/>
  <c r="Y178" i="22" s="1"/>
  <c r="I301" i="22" s="1"/>
  <c r="AC148" i="41"/>
  <c r="Y148" i="41" s="1"/>
  <c r="I248" i="41" s="1"/>
  <c r="AC168" i="21"/>
  <c r="Y168" i="21" s="1"/>
  <c r="I262" i="21" s="1"/>
  <c r="AC130" i="20"/>
  <c r="Y130" i="20" s="1"/>
  <c r="I232" i="20" s="1"/>
  <c r="AC129" i="38"/>
  <c r="Y129" i="38" s="1"/>
  <c r="I249" i="38" s="1"/>
  <c r="AC177" i="22"/>
  <c r="Y177" i="22" s="1"/>
  <c r="I300" i="22" s="1"/>
  <c r="AC129" i="32"/>
  <c r="Y129" i="32" s="1"/>
  <c r="I248" i="32" s="1"/>
  <c r="AC138" i="39"/>
  <c r="Y138" i="39" s="1"/>
  <c r="I268" i="39" s="1"/>
  <c r="AC148" i="40"/>
  <c r="Y148" i="40" s="1"/>
  <c r="I246" i="40" s="1"/>
  <c r="AC167" i="21"/>
  <c r="Y167" i="21" s="1"/>
  <c r="Y87" i="40"/>
  <c r="O87" i="40" s="1"/>
  <c r="O88" i="40" s="1"/>
  <c r="AI88" i="40" s="1"/>
  <c r="C212" i="3"/>
  <c r="S51" i="34"/>
  <c r="C213" i="3"/>
  <c r="H259" i="39"/>
  <c r="H216" i="41"/>
  <c r="Y139" i="38"/>
  <c r="Z139" i="38" s="1"/>
  <c r="AD139" i="38" s="1"/>
  <c r="AG139" i="38" s="1"/>
  <c r="H204" i="38"/>
  <c r="Y138" i="38"/>
  <c r="Z138" i="38" s="1"/>
  <c r="AD138" i="38" s="1"/>
  <c r="AG138" i="38" s="1"/>
  <c r="Y120" i="21"/>
  <c r="AA120" i="21"/>
  <c r="H284" i="21" s="1"/>
  <c r="Y188" i="22"/>
  <c r="Z188" i="22" s="1"/>
  <c r="Y121" i="22"/>
  <c r="Z121" i="22" s="1"/>
  <c r="H320" i="22" s="1"/>
  <c r="H273" i="22"/>
  <c r="Y187" i="22"/>
  <c r="Z187" i="22" s="1"/>
  <c r="Y120" i="22"/>
  <c r="Z120" i="22" s="1"/>
  <c r="H319" i="22" s="1"/>
  <c r="Y186" i="22"/>
  <c r="Z186" i="22" s="1"/>
  <c r="Y119" i="22"/>
  <c r="Y205" i="22"/>
  <c r="AA119" i="22"/>
  <c r="AA121" i="22"/>
  <c r="H322" i="22" s="1"/>
  <c r="AA120" i="22"/>
  <c r="H203" i="20"/>
  <c r="H209" i="32"/>
  <c r="H203" i="32"/>
  <c r="H194" i="32" s="1"/>
  <c r="C44" i="52" s="1"/>
  <c r="Z14" i="40" s="1"/>
  <c r="Y138" i="32"/>
  <c r="Z138" i="32" s="1"/>
  <c r="AD138" i="32" s="1"/>
  <c r="AG138" i="32" s="1"/>
  <c r="O42" i="20"/>
  <c r="AA156" i="40"/>
  <c r="O156" i="40" s="1"/>
  <c r="O43" i="39"/>
  <c r="O34" i="38"/>
  <c r="I242" i="38" s="1"/>
  <c r="O42" i="38"/>
  <c r="O33" i="41"/>
  <c r="O42" i="41"/>
  <c r="O33" i="38"/>
  <c r="O34" i="41"/>
  <c r="I242" i="41" s="1"/>
  <c r="O32" i="40"/>
  <c r="O41" i="40"/>
  <c r="O33" i="40"/>
  <c r="I239" i="40" s="1"/>
  <c r="O34" i="39"/>
  <c r="O35" i="39"/>
  <c r="I261" i="39" s="1"/>
  <c r="O44" i="21"/>
  <c r="I256" i="21" s="1"/>
  <c r="O43" i="22"/>
  <c r="O34" i="32"/>
  <c r="I241" i="32" s="1"/>
  <c r="O33" i="32"/>
  <c r="O35" i="21"/>
  <c r="I254" i="21" s="1"/>
  <c r="O34" i="22"/>
  <c r="O34" i="21"/>
  <c r="I253" i="21" s="1"/>
  <c r="O35" i="22"/>
  <c r="I293" i="22" s="1"/>
  <c r="O33" i="20"/>
  <c r="Z140" i="40"/>
  <c r="O140" i="40" s="1"/>
  <c r="O141" i="40" s="1"/>
  <c r="AB138" i="32"/>
  <c r="O138" i="32" s="1"/>
  <c r="AB139" i="38"/>
  <c r="O139" i="38" s="1"/>
  <c r="Z141" i="41"/>
  <c r="O141" i="41" s="1"/>
  <c r="O142" i="41" s="1"/>
  <c r="AB138" i="38"/>
  <c r="O138" i="38" s="1"/>
  <c r="AA146" i="39"/>
  <c r="O146" i="39" s="1"/>
  <c r="Z130" i="39"/>
  <c r="O130" i="39" s="1"/>
  <c r="Z121" i="38"/>
  <c r="O121" i="38" s="1"/>
  <c r="Z121" i="32"/>
  <c r="O121" i="32" s="1"/>
  <c r="AJ32" i="20"/>
  <c r="AB188" i="22"/>
  <c r="Z169" i="22"/>
  <c r="O169" i="22" s="1"/>
  <c r="O170" i="22" s="1"/>
  <c r="H374" i="22" s="1"/>
  <c r="H243" i="22" s="1"/>
  <c r="AB187" i="22"/>
  <c r="AB186" i="22"/>
  <c r="Z121" i="20"/>
  <c r="O121" i="20" s="1"/>
  <c r="AA137" i="20"/>
  <c r="O137" i="20" s="1"/>
  <c r="Z159" i="21"/>
  <c r="O159" i="21" s="1"/>
  <c r="E18" i="42"/>
  <c r="E48" i="44"/>
  <c r="F111" i="43"/>
  <c r="E30" i="42"/>
  <c r="E149" i="42"/>
  <c r="K24" i="47"/>
  <c r="F116" i="42"/>
  <c r="E148" i="42"/>
  <c r="E151" i="42"/>
  <c r="E16" i="43"/>
  <c r="E16" i="44"/>
  <c r="F112" i="43"/>
  <c r="F102" i="43"/>
  <c r="T77" i="45"/>
  <c r="E28" i="44"/>
  <c r="T24" i="45"/>
  <c r="E28" i="43"/>
  <c r="F110" i="43"/>
  <c r="I299" i="22" l="1"/>
  <c r="O176" i="22"/>
  <c r="O179" i="22" s="1"/>
  <c r="H375" i="22" s="1"/>
  <c r="I260" i="21"/>
  <c r="O166" i="21"/>
  <c r="AJ42" i="20"/>
  <c r="I289" i="20"/>
  <c r="AD188" i="22"/>
  <c r="AG188" i="22" s="1"/>
  <c r="I261" i="21"/>
  <c r="O167" i="21"/>
  <c r="F5" i="45"/>
  <c r="H296" i="20"/>
  <c r="G296" i="20" s="1"/>
  <c r="AJ43" i="20"/>
  <c r="I223" i="20"/>
  <c r="AJ35" i="20"/>
  <c r="G374" i="22"/>
  <c r="I230" i="20"/>
  <c r="O128" i="20"/>
  <c r="O131" i="20" s="1"/>
  <c r="H308" i="20" s="1"/>
  <c r="O157" i="40"/>
  <c r="H286" i="40"/>
  <c r="H284" i="40"/>
  <c r="H288" i="41"/>
  <c r="I243" i="32" a="1"/>
  <c r="I243" i="32" s="1"/>
  <c r="O43" i="20"/>
  <c r="I225" i="20" s="1"/>
  <c r="I233" i="20" a="1"/>
  <c r="I233" i="20" s="1"/>
  <c r="I264" i="21" a="1"/>
  <c r="I264" i="21" s="1"/>
  <c r="I221" i="32" a="1"/>
  <c r="I221" i="32" s="1"/>
  <c r="E80" i="34" a="1"/>
  <c r="E80" i="34" s="1"/>
  <c r="I222" i="38" a="1"/>
  <c r="I222" i="38" s="1"/>
  <c r="I235" i="39" a="1"/>
  <c r="I235" i="39" s="1"/>
  <c r="I302" i="22" a="1"/>
  <c r="I302" i="22" s="1"/>
  <c r="I234" i="41" a="1"/>
  <c r="I234" i="41" s="1"/>
  <c r="I231" i="40" a="1"/>
  <c r="I231" i="40" s="1"/>
  <c r="I269" i="40"/>
  <c r="AB51" i="34"/>
  <c r="I53" i="34" s="1"/>
  <c r="T61" i="34" s="1"/>
  <c r="T69" i="34" s="1"/>
  <c r="Y85" i="51" s="1"/>
  <c r="O86" i="51" s="1"/>
  <c r="H118" i="51" s="1"/>
  <c r="H235" i="38"/>
  <c r="AC138" i="38"/>
  <c r="H238" i="38"/>
  <c r="AC139" i="38"/>
  <c r="AC138" i="32"/>
  <c r="H234" i="32"/>
  <c r="O122" i="32"/>
  <c r="H232" i="32"/>
  <c r="O37" i="21"/>
  <c r="AI38" i="21" s="1"/>
  <c r="I260" i="39"/>
  <c r="O37" i="39"/>
  <c r="AI37" i="39" s="1"/>
  <c r="I244" i="38"/>
  <c r="O43" i="38"/>
  <c r="AI43" i="38" s="1"/>
  <c r="O122" i="38"/>
  <c r="H233" i="38"/>
  <c r="O37" i="22"/>
  <c r="AI37" i="22" s="1"/>
  <c r="I292" i="22"/>
  <c r="O44" i="22"/>
  <c r="AI44" i="22" s="1"/>
  <c r="I295" i="22"/>
  <c r="I241" i="38"/>
  <c r="O36" i="38"/>
  <c r="AI36" i="38" s="1"/>
  <c r="H259" i="38" s="1"/>
  <c r="O45" i="21"/>
  <c r="AI45" i="21" s="1"/>
  <c r="O42" i="40"/>
  <c r="AI42" i="40" s="1"/>
  <c r="I241" i="40"/>
  <c r="O43" i="41"/>
  <c r="AI43" i="41" s="1"/>
  <c r="I244" i="41"/>
  <c r="O44" i="39"/>
  <c r="AI44" i="39" s="1"/>
  <c r="I263" i="39"/>
  <c r="O131" i="39"/>
  <c r="H246" i="39"/>
  <c r="I240" i="32"/>
  <c r="O36" i="32"/>
  <c r="AI36" i="32" s="1"/>
  <c r="O35" i="40"/>
  <c r="AI35" i="40" s="1"/>
  <c r="I238" i="40"/>
  <c r="O36" i="41"/>
  <c r="AI36" i="41" s="1"/>
  <c r="I241" i="41"/>
  <c r="O140" i="38"/>
  <c r="H237" i="38"/>
  <c r="H240" i="38"/>
  <c r="O147" i="39"/>
  <c r="H250" i="39"/>
  <c r="H247" i="39"/>
  <c r="H236" i="32"/>
  <c r="O139" i="32"/>
  <c r="O35" i="20"/>
  <c r="I222" i="20"/>
  <c r="T63" i="34"/>
  <c r="Y83" i="51" s="1"/>
  <c r="O84" i="51" s="1"/>
  <c r="H119" i="51" s="1"/>
  <c r="T84" i="34"/>
  <c r="H249" i="21" s="1"/>
  <c r="AA137" i="22"/>
  <c r="O137" i="22" s="1"/>
  <c r="AA139" i="22"/>
  <c r="O139" i="22" s="1"/>
  <c r="AA138" i="22"/>
  <c r="O138" i="22" s="1"/>
  <c r="AA133" i="22"/>
  <c r="O133" i="22" s="1"/>
  <c r="AA134" i="22"/>
  <c r="O134" i="22" s="1"/>
  <c r="AA135" i="22"/>
  <c r="O135" i="22" s="1"/>
  <c r="AE130" i="21"/>
  <c r="O130" i="21" s="1"/>
  <c r="AD187" i="22"/>
  <c r="AD186" i="22"/>
  <c r="O138" i="20"/>
  <c r="H309" i="20" s="1"/>
  <c r="O122" i="20"/>
  <c r="H307" i="20" s="1"/>
  <c r="AE140" i="22"/>
  <c r="O140" i="22" s="1"/>
  <c r="Z120" i="21"/>
  <c r="H280" i="21" s="1"/>
  <c r="AC207" i="22"/>
  <c r="AC206" i="22"/>
  <c r="AC205" i="22"/>
  <c r="O160" i="21"/>
  <c r="Z119" i="22"/>
  <c r="H318" i="22" s="1"/>
  <c r="F114" i="42"/>
  <c r="E150" i="43"/>
  <c r="F119" i="43"/>
  <c r="F160" i="44"/>
  <c r="F114" i="44"/>
  <c r="F123" i="42"/>
  <c r="E148" i="43"/>
  <c r="F105" i="42"/>
  <c r="F99" i="44"/>
  <c r="F101" i="43"/>
  <c r="F115" i="42"/>
  <c r="E152" i="43"/>
  <c r="E154" i="43"/>
  <c r="F108" i="42"/>
  <c r="F97" i="44"/>
  <c r="F104" i="43"/>
  <c r="E50" i="44"/>
  <c r="F106" i="42"/>
  <c r="E146" i="43"/>
  <c r="E143" i="43"/>
  <c r="O169" i="21" l="1"/>
  <c r="H339" i="21" s="1"/>
  <c r="G339" i="21" s="1"/>
  <c r="H244" i="22"/>
  <c r="G375" i="22"/>
  <c r="H341" i="22"/>
  <c r="AC188" i="22"/>
  <c r="H120" i="51"/>
  <c r="H205" i="21"/>
  <c r="O87" i="51"/>
  <c r="AE51" i="22"/>
  <c r="O52" i="22" s="1"/>
  <c r="AI51" i="22" s="1"/>
  <c r="Y83" i="50"/>
  <c r="O84" i="50" s="1"/>
  <c r="H119" i="50" s="1"/>
  <c r="Y83" i="49"/>
  <c r="O84" i="49" s="1"/>
  <c r="H119" i="49" s="1"/>
  <c r="Y85" i="50"/>
  <c r="O86" i="50" s="1"/>
  <c r="H118" i="50" s="1"/>
  <c r="Y85" i="49"/>
  <c r="O86" i="49" s="1"/>
  <c r="H118" i="49" s="1"/>
  <c r="H362" i="22"/>
  <c r="G362" i="22" s="1"/>
  <c r="H326" i="21"/>
  <c r="G326" i="21" s="1"/>
  <c r="H174" i="20"/>
  <c r="G308" i="20"/>
  <c r="G288" i="41"/>
  <c r="H194" i="41"/>
  <c r="G284" i="40"/>
  <c r="H192" i="40"/>
  <c r="G286" i="40"/>
  <c r="H194" i="40"/>
  <c r="G307" i="20"/>
  <c r="H173" i="20"/>
  <c r="H176" i="20"/>
  <c r="G309" i="20"/>
  <c r="H338" i="21"/>
  <c r="G338" i="21" s="1"/>
  <c r="H277" i="41"/>
  <c r="G277" i="41" s="1"/>
  <c r="H295" i="20"/>
  <c r="H274" i="40"/>
  <c r="AD52" i="41"/>
  <c r="O53" i="41" s="1"/>
  <c r="AI52" i="41" s="1"/>
  <c r="AD51" i="40"/>
  <c r="O52" i="40" s="1"/>
  <c r="AI51" i="40" s="1"/>
  <c r="AD53" i="39"/>
  <c r="O54" i="39" s="1"/>
  <c r="AI53" i="39" s="1"/>
  <c r="AD52" i="38"/>
  <c r="O53" i="38" s="1"/>
  <c r="AI52" i="38" s="1"/>
  <c r="AD52" i="32"/>
  <c r="O53" i="32" s="1"/>
  <c r="AI52" i="32" s="1"/>
  <c r="AE53" i="22"/>
  <c r="O54" i="22" s="1"/>
  <c r="AI53" i="22" s="1"/>
  <c r="AE54" i="21"/>
  <c r="O55" i="21" s="1"/>
  <c r="AI54" i="21" s="1"/>
  <c r="AD52" i="20"/>
  <c r="O53" i="20" s="1"/>
  <c r="AJ52" i="20" s="1"/>
  <c r="T62" i="34"/>
  <c r="T85" i="34"/>
  <c r="H251" i="21" s="1"/>
  <c r="O52" i="38"/>
  <c r="AI51" i="38" s="1"/>
  <c r="O53" i="39"/>
  <c r="AI52" i="39" s="1"/>
  <c r="O51" i="40"/>
  <c r="AI50" i="40" s="1"/>
  <c r="O52" i="20"/>
  <c r="AJ51" i="20" s="1"/>
  <c r="H297" i="20" s="1"/>
  <c r="G297" i="20" s="1"/>
  <c r="O52" i="41"/>
  <c r="AI51" i="41" s="1"/>
  <c r="H278" i="41" s="1"/>
  <c r="G278" i="41" s="1"/>
  <c r="O54" i="21"/>
  <c r="AI53" i="21" s="1"/>
  <c r="O52" i="32"/>
  <c r="AI51" i="32" s="1"/>
  <c r="O53" i="22"/>
  <c r="AI52" i="22" s="1"/>
  <c r="AD50" i="38"/>
  <c r="O51" i="38" s="1"/>
  <c r="AD50" i="32"/>
  <c r="O51" i="32" s="1"/>
  <c r="AI50" i="32" s="1"/>
  <c r="AD49" i="40"/>
  <c r="O50" i="40" s="1"/>
  <c r="AI49" i="40" s="1"/>
  <c r="AD50" i="20"/>
  <c r="O51" i="20" s="1"/>
  <c r="AJ50" i="20" s="1"/>
  <c r="H301" i="20" s="1"/>
  <c r="AE52" i="21"/>
  <c r="O53" i="21" s="1"/>
  <c r="AD51" i="39"/>
  <c r="O52" i="39" s="1"/>
  <c r="AI51" i="39" s="1"/>
  <c r="AD50" i="41"/>
  <c r="O51" i="41" s="1"/>
  <c r="AI50" i="41" s="1"/>
  <c r="H282" i="41" s="1"/>
  <c r="H218" i="32"/>
  <c r="H232" i="39"/>
  <c r="H219" i="38"/>
  <c r="H231" i="41"/>
  <c r="H228" i="40"/>
  <c r="H288" i="22"/>
  <c r="H218" i="20"/>
  <c r="AA129" i="21"/>
  <c r="O129" i="21" s="1"/>
  <c r="AA128" i="21"/>
  <c r="O128" i="21" s="1"/>
  <c r="AA127" i="21"/>
  <c r="O127" i="21" s="1"/>
  <c r="AA130" i="22"/>
  <c r="O130" i="22" s="1"/>
  <c r="AA131" i="22"/>
  <c r="O131" i="22" s="1"/>
  <c r="AA129" i="22"/>
  <c r="O129" i="22" s="1"/>
  <c r="O188" i="22"/>
  <c r="H379" i="22" s="1"/>
  <c r="AG187" i="22"/>
  <c r="H342" i="22" s="1"/>
  <c r="AG186" i="22"/>
  <c r="H343" i="22" s="1"/>
  <c r="E147" i="42"/>
  <c r="F96" i="44"/>
  <c r="E95" i="42"/>
  <c r="E52" i="42"/>
  <c r="E173" i="42"/>
  <c r="E175" i="42"/>
  <c r="E91" i="43"/>
  <c r="E174" i="42"/>
  <c r="H164" i="20" l="1"/>
  <c r="H120" i="50"/>
  <c r="H120" i="49"/>
  <c r="H294" i="41"/>
  <c r="O87" i="49"/>
  <c r="O87" i="50"/>
  <c r="H204" i="21"/>
  <c r="H248" i="22"/>
  <c r="G379" i="22"/>
  <c r="G301" i="20"/>
  <c r="H166" i="20"/>
  <c r="G295" i="20"/>
  <c r="G274" i="40"/>
  <c r="G282" i="41"/>
  <c r="H187" i="41"/>
  <c r="H275" i="40"/>
  <c r="G275" i="40" s="1"/>
  <c r="H279" i="40"/>
  <c r="H368" i="22"/>
  <c r="H327" i="21"/>
  <c r="G327" i="21" s="1"/>
  <c r="I54" i="34"/>
  <c r="O55" i="22"/>
  <c r="H220" i="32"/>
  <c r="H290" i="22"/>
  <c r="H221" i="38"/>
  <c r="H233" i="41"/>
  <c r="H234" i="39"/>
  <c r="H230" i="40"/>
  <c r="H220" i="20"/>
  <c r="AA61" i="41"/>
  <c r="O61" i="41" s="1"/>
  <c r="AA62" i="22"/>
  <c r="O62" i="22" s="1"/>
  <c r="AA62" i="39"/>
  <c r="O62" i="39" s="1"/>
  <c r="AA61" i="32"/>
  <c r="O61" i="32" s="1"/>
  <c r="AA61" i="20"/>
  <c r="O61" i="20" s="1"/>
  <c r="AA61" i="38"/>
  <c r="O61" i="38" s="1"/>
  <c r="AA60" i="40"/>
  <c r="O60" i="40" s="1"/>
  <c r="AA63" i="21"/>
  <c r="O63" i="21" s="1"/>
  <c r="O56" i="21"/>
  <c r="O54" i="38"/>
  <c r="AI50" i="38"/>
  <c r="O131" i="21"/>
  <c r="AI131" i="21" s="1"/>
  <c r="O53" i="40"/>
  <c r="AI52" i="21"/>
  <c r="O54" i="41"/>
  <c r="O55" i="39"/>
  <c r="O54" i="32"/>
  <c r="O141" i="22"/>
  <c r="AC186" i="22"/>
  <c r="O186" i="22" s="1"/>
  <c r="H377" i="22" s="1"/>
  <c r="AC187" i="22"/>
  <c r="E89" i="44"/>
  <c r="E86" i="44"/>
  <c r="E56" i="42"/>
  <c r="E51" i="42"/>
  <c r="E98" i="42"/>
  <c r="E94" i="43"/>
  <c r="H334" i="21" l="1"/>
  <c r="G334" i="21" s="1"/>
  <c r="H336" i="21"/>
  <c r="H370" i="22"/>
  <c r="H238" i="22" s="1"/>
  <c r="AI141" i="22"/>
  <c r="H372" i="22" s="1"/>
  <c r="H385" i="22"/>
  <c r="H291" i="40"/>
  <c r="H204" i="40" s="1"/>
  <c r="H207" i="41"/>
  <c r="H208" i="41" s="1"/>
  <c r="H209" i="41" s="1"/>
  <c r="G294" i="41"/>
  <c r="H204" i="39"/>
  <c r="H205" i="39" s="1"/>
  <c r="H206" i="39" s="1"/>
  <c r="H246" i="22"/>
  <c r="G377" i="22"/>
  <c r="G368" i="22"/>
  <c r="H236" i="22"/>
  <c r="H195" i="21"/>
  <c r="G279" i="40"/>
  <c r="H185" i="40"/>
  <c r="H332" i="21"/>
  <c r="G332" i="21" s="1"/>
  <c r="H371" i="22"/>
  <c r="H335" i="21"/>
  <c r="G335" i="21" s="1"/>
  <c r="AI63" i="21"/>
  <c r="O64" i="21"/>
  <c r="AI60" i="40"/>
  <c r="O61" i="40"/>
  <c r="AI62" i="39"/>
  <c r="O63" i="39"/>
  <c r="AI62" i="22"/>
  <c r="O63" i="22"/>
  <c r="AI61" i="41"/>
  <c r="O62" i="41"/>
  <c r="AI61" i="38"/>
  <c r="O62" i="38"/>
  <c r="AJ61" i="20"/>
  <c r="H302" i="20" s="1"/>
  <c r="O62" i="20"/>
  <c r="AI61" i="32"/>
  <c r="O62" i="32"/>
  <c r="O187" i="22"/>
  <c r="H378" i="22" s="1"/>
  <c r="E62" i="44"/>
  <c r="E54" i="42"/>
  <c r="H199" i="21" l="1"/>
  <c r="G336" i="21"/>
  <c r="H200" i="21"/>
  <c r="G372" i="22"/>
  <c r="H239" i="22"/>
  <c r="G370" i="22"/>
  <c r="H205" i="40"/>
  <c r="G291" i="40"/>
  <c r="H318" i="20"/>
  <c r="H349" i="21"/>
  <c r="H259" i="22"/>
  <c r="G385" i="22"/>
  <c r="H247" i="22"/>
  <c r="G378" i="22"/>
  <c r="G371" i="22"/>
  <c r="G302" i="20"/>
  <c r="H167" i="20"/>
  <c r="H197" i="21"/>
  <c r="H280" i="40"/>
  <c r="H278" i="39"/>
  <c r="H333" i="21"/>
  <c r="G333" i="21" s="1"/>
  <c r="H283" i="41"/>
  <c r="O189" i="22"/>
  <c r="E55" i="42"/>
  <c r="E40" i="42"/>
  <c r="E64" i="44"/>
  <c r="E41" i="42"/>
  <c r="H206" i="40" l="1"/>
  <c r="H220" i="21"/>
  <c r="G349" i="21"/>
  <c r="H189" i="20"/>
  <c r="G318" i="20"/>
  <c r="G278" i="39"/>
  <c r="H198" i="21"/>
  <c r="G280" i="40"/>
  <c r="H186" i="40"/>
  <c r="G283" i="41"/>
  <c r="H188" i="41"/>
  <c r="N100" i="22"/>
  <c r="AH100" i="22" s="1"/>
  <c r="O100" i="22"/>
  <c r="AI100" i="22" s="1"/>
  <c r="E71" i="42"/>
  <c r="E65" i="44"/>
  <c r="E37" i="44"/>
  <c r="H201" i="21" l="1"/>
  <c r="H369" i="22"/>
  <c r="H363" i="22"/>
  <c r="H202" i="21" l="1"/>
  <c r="G363" i="22"/>
  <c r="H234" i="22"/>
  <c r="G369" i="22"/>
  <c r="H237" i="22"/>
  <c r="E39" i="42"/>
  <c r="H240" i="22" l="1"/>
  <c r="Y138" i="21"/>
  <c r="Y142" i="21"/>
  <c r="H296" i="21" s="1"/>
  <c r="Y141" i="21"/>
  <c r="H295" i="21" s="1"/>
  <c r="Y139" i="21"/>
  <c r="H340" i="21" s="1"/>
  <c r="Y140" i="21"/>
  <c r="O140" i="21" s="1"/>
  <c r="G340" i="21" l="1"/>
  <c r="H213" i="21"/>
  <c r="H212" i="21"/>
  <c r="O138" i="21"/>
  <c r="H341" i="21"/>
  <c r="H241" i="22"/>
  <c r="AB205" i="22"/>
  <c r="O205" i="22" s="1"/>
  <c r="G383" i="22" s="1"/>
  <c r="AB206" i="22"/>
  <c r="O206" i="22" s="1"/>
  <c r="AB207" i="22"/>
  <c r="O207" i="22" s="1"/>
  <c r="H293" i="21"/>
  <c r="H300" i="21"/>
  <c r="H294" i="21"/>
  <c r="O141" i="21"/>
  <c r="O142" i="21"/>
  <c r="O139" i="21"/>
  <c r="E204" i="42"/>
  <c r="E60" i="42"/>
  <c r="E170" i="42"/>
  <c r="E202" i="42"/>
  <c r="E203" i="42"/>
  <c r="E201" i="42"/>
  <c r="G341" i="21" l="1"/>
  <c r="H206" i="21"/>
  <c r="O143" i="21"/>
  <c r="O208" i="22"/>
  <c r="H337" i="21"/>
  <c r="G337" i="21" s="1"/>
  <c r="H270" i="32"/>
  <c r="H258" i="32"/>
  <c r="H269" i="32"/>
  <c r="H274" i="32"/>
  <c r="H263" i="32"/>
  <c r="H277" i="32"/>
  <c r="H265" i="32"/>
  <c r="H279" i="32"/>
  <c r="H264" i="32"/>
  <c r="H267" i="32"/>
  <c r="H281" i="32"/>
  <c r="H266" i="32"/>
  <c r="H262" i="32"/>
  <c r="H278" i="32"/>
  <c r="H260" i="32"/>
  <c r="H275" i="32"/>
  <c r="H282" i="32"/>
  <c r="H268" i="32"/>
  <c r="H261" i="32"/>
  <c r="H276" i="32"/>
  <c r="H272" i="32"/>
  <c r="H273" i="32"/>
  <c r="H271" i="32"/>
  <c r="H259" i="32"/>
  <c r="E53" i="42"/>
  <c r="H381" i="22" l="1"/>
  <c r="G381" i="22" s="1"/>
  <c r="G259" i="32"/>
  <c r="H177" i="32"/>
  <c r="G271" i="32"/>
  <c r="H178" i="32"/>
  <c r="G273" i="32"/>
  <c r="H184" i="32"/>
  <c r="G272" i="32"/>
  <c r="H181" i="32"/>
  <c r="G276" i="32"/>
  <c r="G261" i="32"/>
  <c r="G268" i="32"/>
  <c r="H174" i="32"/>
  <c r="H180" i="32"/>
  <c r="G275" i="32"/>
  <c r="G260" i="32"/>
  <c r="G278" i="32"/>
  <c r="H189" i="32"/>
  <c r="H166" i="32"/>
  <c r="G262" i="32"/>
  <c r="G266" i="32"/>
  <c r="H170" i="32"/>
  <c r="H183" i="32"/>
  <c r="H173" i="32"/>
  <c r="G267" i="32"/>
  <c r="G264" i="32"/>
  <c r="H168" i="32"/>
  <c r="G279" i="32"/>
  <c r="H190" i="32"/>
  <c r="H169" i="32"/>
  <c r="G265" i="32"/>
  <c r="H182" i="32"/>
  <c r="G277" i="32"/>
  <c r="G263" i="32"/>
  <c r="H167" i="32"/>
  <c r="H179" i="32"/>
  <c r="G274" i="32"/>
  <c r="H175" i="32"/>
  <c r="G269" i="32"/>
  <c r="G258" i="32"/>
  <c r="G270" i="32"/>
  <c r="H176" i="32"/>
  <c r="H203" i="21"/>
  <c r="H215" i="21" s="1"/>
  <c r="O54" i="20"/>
  <c r="E50" i="42"/>
  <c r="H250" i="22" l="1"/>
  <c r="H191" i="32"/>
  <c r="H192" i="32" s="1"/>
  <c r="E36" i="44"/>
  <c r="E38" i="42"/>
  <c r="E36" i="42"/>
  <c r="H254" i="22" l="1"/>
  <c r="H255" i="22"/>
  <c r="H170" i="20"/>
  <c r="H171" i="20" s="1"/>
  <c r="E58" i="42"/>
  <c r="E43" i="42"/>
  <c r="H256" i="22" l="1"/>
  <c r="B227" i="22" s="1"/>
  <c r="H257" i="22"/>
  <c r="H185" i="20"/>
  <c r="H184" i="20"/>
  <c r="E44" i="42"/>
  <c r="H187" i="20" l="1"/>
  <c r="H186" i="20"/>
  <c r="B157" i="20" s="1"/>
  <c r="H321" i="20" l="1"/>
  <c r="H352" i="21"/>
  <c r="H388" i="22"/>
  <c r="H322" i="21"/>
  <c r="H124" i="49"/>
  <c r="H192" i="20" s="1"/>
  <c r="AP25" i="47" a="1"/>
  <c r="H262" i="22" l="1"/>
  <c r="H263" i="22" s="1"/>
  <c r="C52" i="52" s="1"/>
  <c r="H223" i="21"/>
  <c r="H224" i="21" s="1"/>
  <c r="AP25" i="47"/>
  <c r="H195" i="20"/>
  <c r="C50" i="52" s="1"/>
  <c r="K28" i="47"/>
  <c r="E22" i="42"/>
  <c r="C51" i="52" l="1"/>
  <c r="Z14" i="38" s="1"/>
  <c r="Z15" i="39"/>
  <c r="H274" i="39"/>
  <c r="E59" i="42"/>
  <c r="Z14" i="32" l="1"/>
  <c r="G274" i="39"/>
  <c r="H281" i="39"/>
  <c r="G281" i="39" l="1"/>
  <c r="H182" i="39"/>
  <c r="H265" i="38"/>
  <c r="H169" i="38" l="1"/>
  <c r="G265" i="38"/>
  <c r="H285" i="39"/>
  <c r="E37" i="43"/>
  <c r="H188" i="39" l="1"/>
  <c r="G285" i="39"/>
  <c r="H291" i="39"/>
  <c r="H193" i="39" l="1"/>
  <c r="G291" i="39"/>
  <c r="H278" i="38"/>
  <c r="H183" i="38" l="1"/>
  <c r="G278" i="38"/>
  <c r="G259" i="38" l="1"/>
  <c r="H290" i="39"/>
  <c r="H192" i="39" l="1"/>
  <c r="G290" i="39"/>
  <c r="H269" i="38"/>
  <c r="G269" i="38" l="1"/>
  <c r="H175" i="38"/>
  <c r="H274" i="38"/>
  <c r="E47" i="43"/>
  <c r="H179" i="38" l="1"/>
  <c r="G274" i="38"/>
  <c r="H287" i="39"/>
  <c r="E51" i="43"/>
  <c r="G287" i="39" l="1"/>
  <c r="H190" i="39"/>
  <c r="H270" i="38"/>
  <c r="H176" i="38" l="1"/>
  <c r="G270" i="38"/>
  <c r="H286" i="39"/>
  <c r="G286" i="39" l="1"/>
  <c r="H189" i="39"/>
  <c r="H282" i="39"/>
  <c r="E48" i="43"/>
  <c r="H183" i="39" l="1"/>
  <c r="G282" i="39"/>
  <c r="H296" i="39"/>
  <c r="G296" i="39" l="1"/>
  <c r="H184" i="38" l="1"/>
  <c r="G281" i="38"/>
  <c r="H272" i="38"/>
  <c r="H178" i="38" l="1"/>
  <c r="G272" i="38"/>
  <c r="H276" i="39"/>
  <c r="G276" i="39" l="1"/>
  <c r="H293" i="39"/>
  <c r="H195" i="39" l="1"/>
  <c r="G293" i="39"/>
  <c r="H267" i="38"/>
  <c r="H171" i="38" l="1"/>
  <c r="G267" i="38"/>
  <c r="H288" i="39"/>
  <c r="G288" i="39" l="1"/>
  <c r="H191" i="39"/>
  <c r="H283" i="39"/>
  <c r="E50" i="43"/>
  <c r="H184" i="39" l="1"/>
  <c r="G283" i="39"/>
  <c r="H295" i="39"/>
  <c r="E39" i="43"/>
  <c r="G295" i="39" l="1"/>
  <c r="H277" i="38"/>
  <c r="H182" i="38" l="1"/>
  <c r="G277" i="38"/>
  <c r="H294" i="39"/>
  <c r="E54" i="43"/>
  <c r="H196" i="39" l="1"/>
  <c r="G294" i="39"/>
  <c r="H284" i="39"/>
  <c r="E56" i="43"/>
  <c r="H187" i="39" l="1"/>
  <c r="G284" i="39"/>
  <c r="H275" i="38"/>
  <c r="G275" i="38" l="1"/>
  <c r="H180" i="38"/>
  <c r="H273" i="38"/>
  <c r="E52" i="43"/>
  <c r="G273" i="38" l="1"/>
  <c r="H185" i="38"/>
  <c r="H268" i="38"/>
  <c r="H174" i="38" l="1"/>
  <c r="G268" i="38"/>
  <c r="H297" i="39"/>
  <c r="E57" i="43"/>
  <c r="H197" i="39" l="1"/>
  <c r="G297" i="39"/>
  <c r="H263" i="38"/>
  <c r="E55" i="43"/>
  <c r="H167" i="38" l="1"/>
  <c r="G263" i="38"/>
  <c r="H280" i="39"/>
  <c r="G280" i="39" l="1"/>
  <c r="H181" i="39"/>
  <c r="H292" i="39"/>
  <c r="H194" i="39" l="1"/>
  <c r="G292" i="39"/>
  <c r="H271" i="38"/>
  <c r="H177" i="38" l="1"/>
  <c r="G271" i="38"/>
  <c r="H277" i="39"/>
  <c r="E49" i="43"/>
  <c r="G277" i="39" l="1"/>
  <c r="H262" i="38"/>
  <c r="G262" i="38" l="1"/>
  <c r="H280" i="38"/>
  <c r="G280" i="38" l="1"/>
  <c r="H191" i="38"/>
  <c r="H279" i="38"/>
  <c r="E67" i="43"/>
  <c r="G279" i="38" l="1"/>
  <c r="H190" i="38"/>
  <c r="H260" i="38"/>
  <c r="E66" i="43"/>
  <c r="H192" i="38" l="1"/>
  <c r="G260" i="38"/>
  <c r="H289" i="39"/>
  <c r="E69" i="43"/>
  <c r="H193" i="38" l="1"/>
  <c r="H198" i="39"/>
  <c r="G289" i="39"/>
  <c r="H264" i="38"/>
  <c r="E58" i="43"/>
  <c r="E70" i="43"/>
  <c r="H168" i="38" l="1"/>
  <c r="G264" i="38"/>
  <c r="H275" i="39"/>
  <c r="E36" i="43"/>
  <c r="G275" i="39" l="1"/>
  <c r="H266" i="38"/>
  <c r="H170" i="38" l="1"/>
  <c r="G266" i="38"/>
  <c r="H279" i="39"/>
  <c r="E38" i="43"/>
  <c r="AA25" i="47" a="1"/>
  <c r="AA25" i="47" l="1"/>
  <c r="G279" i="39"/>
  <c r="H180" i="39"/>
  <c r="H276" i="38"/>
  <c r="E35" i="43"/>
  <c r="G276" i="38" l="1"/>
  <c r="H181" i="38"/>
  <c r="H261" i="38"/>
  <c r="AF25" i="47" a="1"/>
  <c r="E53" i="43"/>
  <c r="AF25" i="47" l="1"/>
  <c r="G261" i="38"/>
  <c r="H216" i="21" l="1"/>
  <c r="H218" i="21" s="1"/>
  <c r="E63" i="42"/>
  <c r="B188" i="21" l="1"/>
  <c r="H217" i="21"/>
  <c r="E64" i="42"/>
  <c r="AA57" i="49" l="1"/>
  <c r="P57" i="49" s="1"/>
  <c r="H112" i="49"/>
  <c r="H116" i="49" s="1"/>
  <c r="Y56" i="49"/>
  <c r="AA56" i="49"/>
  <c r="P56" i="49" s="1"/>
  <c r="H348" i="21" l="1"/>
  <c r="P58" i="49" l="1"/>
  <c r="H317" i="20" l="1"/>
  <c r="H384" i="22"/>
  <c r="G384" i="22" s="1"/>
  <c r="H219" i="21"/>
  <c r="H221" i="21" s="1"/>
  <c r="H222" i="21" s="1"/>
  <c r="G348" i="21"/>
  <c r="AK25" i="47" a="1"/>
  <c r="E135" i="43"/>
  <c r="H258" i="22" l="1"/>
  <c r="H260" i="22" s="1"/>
  <c r="AK25" i="47"/>
  <c r="G317" i="20"/>
  <c r="H188" i="20"/>
  <c r="H190" i="20" s="1"/>
  <c r="H191" i="20" s="1"/>
  <c r="H197" i="20" s="1"/>
  <c r="H225" i="21"/>
  <c r="H227" i="21" s="1"/>
  <c r="H226" i="21"/>
  <c r="H228" i="21" s="1"/>
  <c r="D51" i="52" s="1"/>
  <c r="H273" i="39"/>
  <c r="H257" i="32"/>
  <c r="F158" i="43"/>
  <c r="E70" i="42"/>
  <c r="E73" i="42"/>
  <c r="H194" i="20" l="1"/>
  <c r="D50" i="52" s="1"/>
  <c r="H193" i="20"/>
  <c r="H196" i="20" s="1"/>
  <c r="H261" i="22"/>
  <c r="G273" i="39"/>
  <c r="H179" i="39"/>
  <c r="H185" i="39" s="1"/>
  <c r="G257" i="32"/>
  <c r="H165" i="32"/>
  <c r="E34" i="43"/>
  <c r="E74" i="42"/>
  <c r="H265" i="22" l="1"/>
  <c r="H264" i="22"/>
  <c r="H186" i="39"/>
  <c r="H199" i="39"/>
  <c r="H200" i="39"/>
  <c r="H171" i="32"/>
  <c r="H186" i="32" s="1"/>
  <c r="E40" i="43"/>
  <c r="E77" i="42"/>
  <c r="E76" i="42"/>
  <c r="E59" i="43"/>
  <c r="H266" i="22" l="1"/>
  <c r="H267" i="22"/>
  <c r="H201" i="39"/>
  <c r="B173" i="39" s="1"/>
  <c r="H202" i="39"/>
  <c r="AA15" i="41" s="1"/>
  <c r="AB15" i="41" s="1"/>
  <c r="H276" i="41" s="1"/>
  <c r="H209" i="39"/>
  <c r="H211" i="39" s="1"/>
  <c r="H172" i="32"/>
  <c r="H195" i="32" s="1"/>
  <c r="H185" i="32"/>
  <c r="H187" i="32" s="1"/>
  <c r="B158" i="32" s="1"/>
  <c r="H188" i="32"/>
  <c r="AA14" i="40" s="1"/>
  <c r="AB14" i="40" s="1"/>
  <c r="H273" i="40" s="1"/>
  <c r="E80" i="42"/>
  <c r="E79" i="42"/>
  <c r="E41" i="43"/>
  <c r="E60" i="43"/>
  <c r="V25" i="47" a="1"/>
  <c r="E72" i="43"/>
  <c r="D52" i="52" l="1"/>
  <c r="G276" i="41"/>
  <c r="H185" i="41"/>
  <c r="H191" i="41" s="1"/>
  <c r="H210" i="39"/>
  <c r="H212" i="39" s="1"/>
  <c r="D46" i="52" s="1"/>
  <c r="H197" i="32"/>
  <c r="V25" i="47"/>
  <c r="G273" i="40"/>
  <c r="H183" i="40"/>
  <c r="H196" i="32"/>
  <c r="H198" i="32" s="1"/>
  <c r="E73" i="43"/>
  <c r="E75" i="43"/>
  <c r="E76" i="43"/>
  <c r="E34" i="44"/>
  <c r="AA15" i="39" l="1"/>
  <c r="AA14" i="32"/>
  <c r="AA14" i="38"/>
  <c r="H203" i="41"/>
  <c r="H192" i="41"/>
  <c r="H202" i="41"/>
  <c r="H189" i="40"/>
  <c r="D44" i="52"/>
  <c r="E40" i="44"/>
  <c r="AB14" i="38" l="1"/>
  <c r="H229" i="38"/>
  <c r="AB14" i="32"/>
  <c r="O16" i="32" s="1"/>
  <c r="O17" i="32" s="1"/>
  <c r="H228" i="32"/>
  <c r="Z153" i="39"/>
  <c r="O153" i="39" s="1"/>
  <c r="H242" i="39"/>
  <c r="AB15" i="39"/>
  <c r="O17" i="39" s="1"/>
  <c r="O18" i="39" s="1"/>
  <c r="H214" i="41"/>
  <c r="H212" i="41"/>
  <c r="H204" i="41"/>
  <c r="B178" i="41" s="1"/>
  <c r="H205" i="41"/>
  <c r="H200" i="40"/>
  <c r="H190" i="40"/>
  <c r="H199" i="40"/>
  <c r="E54" i="44"/>
  <c r="E41" i="44"/>
  <c r="O154" i="39" l="1"/>
  <c r="I256" i="39"/>
  <c r="H258" i="38"/>
  <c r="O16" i="38"/>
  <c r="O17" i="38" s="1"/>
  <c r="H215" i="41"/>
  <c r="D61" i="52" s="1"/>
  <c r="H213" i="41"/>
  <c r="H201" i="40"/>
  <c r="B176" i="40" s="1"/>
  <c r="H209" i="40"/>
  <c r="H211" i="40" s="1"/>
  <c r="H202" i="40"/>
  <c r="E67" i="44"/>
  <c r="E55" i="44"/>
  <c r="F13" i="45"/>
  <c r="E70" i="44"/>
  <c r="K6" i="47"/>
  <c r="G258" i="38" l="1"/>
  <c r="H166" i="38"/>
  <c r="H172" i="38" s="1"/>
  <c r="H210" i="40"/>
  <c r="H212" i="40" s="1"/>
  <c r="K12" i="47"/>
  <c r="K18" i="47"/>
  <c r="E71" i="44"/>
  <c r="H13" i="45"/>
  <c r="E68" i="44"/>
  <c r="H198" i="38" l="1"/>
  <c r="H173" i="38"/>
  <c r="H196" i="38" s="1"/>
  <c r="H186" i="38"/>
  <c r="H187" i="38"/>
  <c r="D60" i="52"/>
  <c r="H189" i="38" l="1"/>
  <c r="H197" i="38" s="1"/>
  <c r="H199" i="38"/>
  <c r="D45" i="52" s="1"/>
  <c r="H188" i="38"/>
  <c r="B159"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Perry</author>
  </authors>
  <commentList>
    <comment ref="B119" authorId="0" shapeId="0" xr:uid="{BFCD393A-1307-4AA3-A453-E75280348117}">
      <text>
        <r>
          <rPr>
            <sz val="9"/>
            <color indexed="81"/>
            <rFont val="Tahoma"/>
            <family val="2"/>
          </rPr>
          <t>Other than:
(a) petroleum based oils and petroleum based greases mentioned
(b) the petroleum based products mentioned</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<sst xmlns="http://schemas.openxmlformats.org/spreadsheetml/2006/main" count="8317" uniqueCount="1387">
  <si>
    <r>
      <rPr>
        <b/>
        <sz val="14"/>
        <color theme="1"/>
        <rFont val="Arial"/>
        <family val="2"/>
      </rPr>
      <t xml:space="preserve">Guarantee of Origin:
</t>
    </r>
    <r>
      <rPr>
        <sz val="14"/>
        <color theme="1"/>
        <rFont val="Arial"/>
        <family val="2"/>
      </rPr>
      <t>Hydrogen Production Emissions Calculator</t>
    </r>
  </si>
  <si>
    <t>INTRODUCTION</t>
  </si>
  <si>
    <t>INSTRUCTIONS</t>
  </si>
  <si>
    <t>General instructions</t>
  </si>
  <si>
    <t>This calculator is used to estimate greenhouse gas emissions from hydrogen production and relevant downstream processes. Certain cells include drop down menus, and others require user responses or numerical inputs. Users should enter as much detail and data as possible to allow for a more accurate emissions estimate. Note, the calculator is set up to allow:</t>
  </si>
  <si>
    <t>• Simple emissions estimation: users are required to input only simple activity data, including the location of production facility, production technology, production capacity, and types of production feedstocks. The calculator, using default calculations and factors, provides a conservative estimate of greenhouse gas emissions using these inputs. This method is similar to Method 1 calculations under the National Greenhouse and Energy Reporting (NGER) Scheme, which employs default energy content and emission factors.</t>
  </si>
  <si>
    <t>• Detailed emissions estimation: users are required to input detailed activity data including the location of the hydrogen production facility, production technology, production capacity, and types and quantities of production feedstocks and supplier provided/bespoke emission factors. The calculator, using the specified factors (where known) and default factors, provides a more accurate estimation of greenhouse gas emissions using these inputs. This method is similar to the higher order calculation methods under the NGER Scheme (Methods 2, 3, and 4), which employ site-specific factors determined by sampling and the use of Australian/international standard, or direct/continuous emissions measurement.</t>
  </si>
  <si>
    <t>1. Facility Details</t>
  </si>
  <si>
    <t>Users should first navigate to the 'Facility Details' tab and input information about the production facility and technologies used. In this tab, The relevant hydrogen production pathway and downstream processes should be selected.</t>
  </si>
  <si>
    <t>Currently, the Calculator allows for the selection of one of three hydrogen production pathways:</t>
  </si>
  <si>
    <t>• Electrolysis</t>
  </si>
  <si>
    <t>• Natural Gas Steam Methane Reforming</t>
  </si>
  <si>
    <t>• Coal Gasification</t>
  </si>
  <si>
    <t>Please input information into all required cells, as other tabs may not function properly if this tab is not fully completed.</t>
  </si>
  <si>
    <t>2. Electricity Usage</t>
  </si>
  <si>
    <t>Users should now navigate to the electricity usage tab. In this tab, users are required to provide electricity generation and consumption data for the entire production process, including downstream processes. Consumption of different electricity types can be allocated to products in other tabs.</t>
  </si>
  <si>
    <t>3. Production Pathway</t>
  </si>
  <si>
    <r>
      <t xml:space="preserve">Users should now navigate to the production pathway tabs relevant to their production facility. In these tab, users are required to provide data on the inputs and outputs to their production process. Users should input data into all tabs relevant to their facility. </t>
    </r>
    <r>
      <rPr>
        <sz val="12"/>
        <rFont val="Arial"/>
        <family val="2"/>
      </rPr>
      <t>For example, if hydrogen is produced via electrolysis, converted to ammonia onsite and transported to another destination for where it is cracked, users should input data into the 'Electrolysis', 'Ammonia Production' and 'Ammonia Cracking' tabs.</t>
    </r>
  </si>
  <si>
    <t>4. Summary tabs</t>
  </si>
  <si>
    <t>• Hydrogen production</t>
  </si>
  <si>
    <t>• Hydrogen conditioning</t>
  </si>
  <si>
    <t>• Downstream (cracking) processes</t>
  </si>
  <si>
    <t>The summary tabs will display data based on the production pathways selected in the 'facility details' tab.</t>
  </si>
  <si>
    <t>Linkages to other documents</t>
  </si>
  <si>
    <t>Cell Colour Key</t>
  </si>
  <si>
    <t>Descriptive input</t>
  </si>
  <si>
    <t>Profile registration type input</t>
  </si>
  <si>
    <t>Pre-filled fixed type</t>
  </si>
  <si>
    <t>Not relevant to selected method</t>
  </si>
  <si>
    <r>
      <rPr>
        <b/>
        <sz val="14"/>
        <color theme="1"/>
        <rFont val="Arial"/>
        <family val="2"/>
      </rPr>
      <t>Guarantee of Origin:</t>
    </r>
    <r>
      <rPr>
        <sz val="14"/>
        <color theme="1"/>
        <rFont val="Arial"/>
        <family val="2"/>
      </rPr>
      <t xml:space="preserve">
Hydrogen Production Emissions Calculator</t>
    </r>
  </si>
  <si>
    <t>FACILITY DETAILS</t>
  </si>
  <si>
    <t>Enter details</t>
  </si>
  <si>
    <t>Facility name</t>
  </si>
  <si>
    <t>Location</t>
  </si>
  <si>
    <t>Queensland</t>
  </si>
  <si>
    <t>Metro</t>
  </si>
  <si>
    <t>Commencement of Facility Operation Date</t>
  </si>
  <si>
    <t>BATCH DETAILS</t>
  </si>
  <si>
    <t>Note, all data should be input for the same time period</t>
  </si>
  <si>
    <t>Batch Duration</t>
  </si>
  <si>
    <t>Max calendars days from start date</t>
  </si>
  <si>
    <t>Days</t>
  </si>
  <si>
    <t>Years</t>
  </si>
  <si>
    <t>Only used for data validation to allow for leap years to be input</t>
  </si>
  <si>
    <t>Beginning Date</t>
  </si>
  <si>
    <t>Beginning Time</t>
  </si>
  <si>
    <t>End Date</t>
  </si>
  <si>
    <t>End Time</t>
  </si>
  <si>
    <t>PRODUCT DETAILS</t>
  </si>
  <si>
    <t>Primary Product</t>
  </si>
  <si>
    <t>Hydrogen</t>
  </si>
  <si>
    <t>Is a Hydrogen Production Process Used</t>
  </si>
  <si>
    <t>Is a Conditioning Process Used</t>
  </si>
  <si>
    <t>Is a Downstream Process Used</t>
  </si>
  <si>
    <t>Hydrogen Production Pathway</t>
  </si>
  <si>
    <t>Coal Gasification</t>
  </si>
  <si>
    <t>Hydrogen Conditioning process</t>
  </si>
  <si>
    <t>Downstream Process</t>
  </si>
  <si>
    <t>Expected primary product (for developer checks only)</t>
  </si>
  <si>
    <t>Check if compatible primary product selected</t>
  </si>
  <si>
    <t>CO2 CAPTURE</t>
  </si>
  <si>
    <t>Is Carbon Capture and Storage (CCS) used?</t>
  </si>
  <si>
    <t>Yes</t>
  </si>
  <si>
    <t>Technology for Monitoring Fugitives from CO2 Storage</t>
  </si>
  <si>
    <t>Type of Geological CO2 Storage</t>
  </si>
  <si>
    <t>Location of CO2 Storage</t>
  </si>
  <si>
    <t>Transport type of CO2 Storage</t>
  </si>
  <si>
    <t>Are ACCUs generated under the relevant ERF methodology?</t>
  </si>
  <si>
    <t>No</t>
  </si>
  <si>
    <t>ACCUs generated</t>
  </si>
  <si>
    <t>Projected peak CO2 capture rate as a %</t>
  </si>
  <si>
    <t>Facility Information: Electricity Usage</t>
  </si>
  <si>
    <t>Hidden Calculations</t>
  </si>
  <si>
    <t>* Location based method uses import grid electricity, market based uses residual grid electricity (total imported less certified renewable certificates)</t>
  </si>
  <si>
    <t>GRID ELECTRICITY INPUTS</t>
  </si>
  <si>
    <t>EF S2 (Location)</t>
  </si>
  <si>
    <t>EF S3 (Location)</t>
  </si>
  <si>
    <t>Emissions Factor</t>
  </si>
  <si>
    <t>Amount *</t>
  </si>
  <si>
    <t>Calculation Method</t>
  </si>
  <si>
    <t>Enter Quantity of Electricity</t>
  </si>
  <si>
    <t>Units</t>
  </si>
  <si>
    <r>
      <t>CO</t>
    </r>
    <r>
      <rPr>
        <b/>
        <vertAlign val="subscript"/>
        <sz val="12"/>
        <rFont val="Arial"/>
        <family val="2"/>
      </rPr>
      <t>2</t>
    </r>
    <r>
      <rPr>
        <b/>
        <sz val="12"/>
        <rFont val="Arial"/>
        <family val="2"/>
      </rPr>
      <t>-e Produced</t>
    </r>
  </si>
  <si>
    <t>(kg C02 -e /kWh)</t>
  </si>
  <si>
    <t>(kWh)</t>
  </si>
  <si>
    <t>Imported Grid Electricity</t>
  </si>
  <si>
    <t>MWh</t>
  </si>
  <si>
    <t>Location-based</t>
  </si>
  <si>
    <t>Market-based</t>
  </si>
  <si>
    <t>Location Based</t>
  </si>
  <si>
    <t>kg</t>
  </si>
  <si>
    <t>Market Based</t>
  </si>
  <si>
    <t>RENEWABLE ELECTRICITY INPUTS</t>
  </si>
  <si>
    <t>EITE Exemption</t>
  </si>
  <si>
    <t>Amount</t>
  </si>
  <si>
    <t>Total Imported Grid Electricity</t>
  </si>
  <si>
    <t>Total Verified Renewable Electricity Imported</t>
  </si>
  <si>
    <t>Residual Imported Electricity</t>
  </si>
  <si>
    <t>LGC purchased and retired (kWh) (including PPAs)</t>
  </si>
  <si>
    <t>GreenPower</t>
  </si>
  <si>
    <t>Jurisdictional renewables (LGCs retired)</t>
  </si>
  <si>
    <t>Large Scale Renewable Energy Target (Jurisdictional Renewables applied if applicable)</t>
  </si>
  <si>
    <t>Imported verified renewable electricity</t>
  </si>
  <si>
    <t>Residual electricity</t>
  </si>
  <si>
    <t>Electricity Generated Onsite via Renewables</t>
  </si>
  <si>
    <t>ELECTRICITY GENERATION VIA FUEL COMBUSTION</t>
  </si>
  <si>
    <t>Combustion Emissions Factor</t>
  </si>
  <si>
    <t>Energy Content Factor</t>
  </si>
  <si>
    <t>Embodied Emissions Factor</t>
  </si>
  <si>
    <t>Amount in Relevant Units</t>
  </si>
  <si>
    <t>Total Combustion Emissions</t>
  </si>
  <si>
    <t>Total Electricity Generated via Fuel Combustion</t>
  </si>
  <si>
    <t>Select Fuel Type</t>
  </si>
  <si>
    <t>(kg CO2 -e/GJ)</t>
  </si>
  <si>
    <t>(GJ/unit amount)</t>
  </si>
  <si>
    <t>(t, m3(kL))</t>
  </si>
  <si>
    <t>(kg CO2-e)</t>
  </si>
  <si>
    <t>Select Fuel</t>
  </si>
  <si>
    <t>Combustion Emissions</t>
  </si>
  <si>
    <t>Enter Quantity of Fuel</t>
  </si>
  <si>
    <t>Total</t>
  </si>
  <si>
    <t>ELECTRICITY GENERATION VIA COMBINED HEAT AND POWER (CHP)</t>
  </si>
  <si>
    <t>Amount of Steam</t>
  </si>
  <si>
    <t>Δ Steam Enthalpy</t>
  </si>
  <si>
    <t>Generated Electricity</t>
  </si>
  <si>
    <t>Share electricity</t>
  </si>
  <si>
    <t>Share Steam</t>
  </si>
  <si>
    <t>Upstream - Steam</t>
  </si>
  <si>
    <t>(kg)</t>
  </si>
  <si>
    <t>(kJ/kg)</t>
  </si>
  <si>
    <t>(kJ)</t>
  </si>
  <si>
    <t>Upstream - Electricity</t>
  </si>
  <si>
    <t>Enter Energy Content Factor (GJ/ m3 or kg)</t>
  </si>
  <si>
    <t>Enter Quantity of Steam Produced</t>
  </si>
  <si>
    <t>Select Steam Properties</t>
  </si>
  <si>
    <t>Electricity Generated onsite via CHP</t>
  </si>
  <si>
    <t>Total Combustion Emissions from Onsite CHP Electricity Generation (kg CO2-e)</t>
  </si>
  <si>
    <t>Total Electricity Generated On Site via CHP (kWh)</t>
  </si>
  <si>
    <t>Total Steam Generated On Site (kg)</t>
  </si>
  <si>
    <t>ELECTRICITY AND CHP STEAM ALLOCATIONS</t>
  </si>
  <si>
    <t>Total Combustion Emissions from Onsite CHP Steam Generation (kg CO2-e)</t>
  </si>
  <si>
    <t>Total Electricity Generated On Site via Other Combustion (kWh)</t>
  </si>
  <si>
    <t>Grid Electricity</t>
  </si>
  <si>
    <t>Electricity from Onsite Combustion</t>
  </si>
  <si>
    <t>CHP Steam</t>
  </si>
  <si>
    <t>Verified Renewables</t>
  </si>
  <si>
    <t>Total Market Based Electricity Import Emissions (kg CO2-e)</t>
  </si>
  <si>
    <t>Total Electricity Generated On Site Via Combustion (kWh)</t>
  </si>
  <si>
    <t>Total Combustion Emissions from other Generation (kg CO2-e)</t>
  </si>
  <si>
    <t>Total Embodied Emissions From Onsite CHP Electricity Gen (kg CO2-e)</t>
  </si>
  <si>
    <t>Total Electricity from Onsite Renewables (kWh)</t>
  </si>
  <si>
    <t>Total Embodied Emissions From Onsite CHP Steam Gen (kg CO2-e)</t>
  </si>
  <si>
    <t>Total Onsite Electricity Generation (kWh)</t>
  </si>
  <si>
    <t>Total Embodied Emissions from Other Onsite Combustion for Electricity Generation (kg CO2-e)</t>
  </si>
  <si>
    <t>Transport &amp; Storage - Hydrogen</t>
  </si>
  <si>
    <t>Total Location Based Electricity Import Emissions (kg CO2-e)</t>
  </si>
  <si>
    <t>Transport - Conditioning</t>
  </si>
  <si>
    <t>Total Combustion Emissions For Electricity Gen</t>
  </si>
  <si>
    <t>Total Electricity Used (kWh)</t>
  </si>
  <si>
    <t>Transport - Downstream</t>
  </si>
  <si>
    <t>Total Embodied Emissions For Electricity Gen</t>
  </si>
  <si>
    <t>Renewable %</t>
  </si>
  <si>
    <t xml:space="preserve">Total </t>
  </si>
  <si>
    <t>Item</t>
  </si>
  <si>
    <t>Quantity (kg or L)</t>
  </si>
  <si>
    <t>EF (kg CO2-e/kg or L)</t>
  </si>
  <si>
    <t>Fuel feedstock - CHP</t>
  </si>
  <si>
    <t>Steam</t>
  </si>
  <si>
    <t>Elec</t>
  </si>
  <si>
    <t>Emissions Factors Required For Reporting</t>
  </si>
  <si>
    <t>EF (kg CO2-e/ kWh)</t>
  </si>
  <si>
    <t>Amount of CHP Fuel Allocated to Steam Gen</t>
  </si>
  <si>
    <t>Fuel feedstock - Other Electricity Gen</t>
  </si>
  <si>
    <t>Amount of CHP Fuel Allocated to Electricity Gen</t>
  </si>
  <si>
    <t>Onsite Generation</t>
  </si>
  <si>
    <r>
      <rPr>
        <b/>
        <sz val="16"/>
        <color theme="1"/>
        <rFont val="Arial"/>
        <family val="2"/>
      </rPr>
      <t>Guarantee of Origin:</t>
    </r>
    <r>
      <rPr>
        <sz val="16"/>
        <color theme="1"/>
        <rFont val="Arial"/>
        <family val="2"/>
      </rPr>
      <t xml:space="preserve">
Hydrogen Production Emissions Calculator</t>
    </r>
  </si>
  <si>
    <t>PRODUCTION PATHWAY 1: ELECTROLYSIS INPUTS SHEET</t>
  </si>
  <si>
    <t>Enter Facility Information</t>
  </si>
  <si>
    <t>Water Treatment Technology</t>
  </si>
  <si>
    <t>Electrolyser Technology</t>
  </si>
  <si>
    <t>Hydrogen Purification Technology</t>
  </si>
  <si>
    <t>Production Capacity (t)</t>
  </si>
  <si>
    <t>Facility Hydrogen Production Capacity per Annum</t>
  </si>
  <si>
    <t>t</t>
  </si>
  <si>
    <t>Select Units</t>
  </si>
  <si>
    <t>Quantity of Hydrogen Produced (t)</t>
  </si>
  <si>
    <t>Quantity of Hydrogen Produced</t>
  </si>
  <si>
    <t>Hydrogen Temperature and Pressure at Gate</t>
  </si>
  <si>
    <t>Purity at Gate</t>
  </si>
  <si>
    <t>Summary of  Total Emissions by Category</t>
  </si>
  <si>
    <t>Contaminants</t>
  </si>
  <si>
    <t>Left Total Column Value</t>
  </si>
  <si>
    <t>Right Total Column Value</t>
  </si>
  <si>
    <t>Left Column Emissions Category</t>
  </si>
  <si>
    <t>Right Column Emissions Category</t>
  </si>
  <si>
    <t>Left Column Emissions Sub Category</t>
  </si>
  <si>
    <t>Right Column Emissions Sub Category</t>
  </si>
  <si>
    <t>IMPORTED WATER</t>
  </si>
  <si>
    <t>Source</t>
  </si>
  <si>
    <t>Select Water Type</t>
  </si>
  <si>
    <t>Enter Quantity of Water</t>
  </si>
  <si>
    <t>Enter Distance to Site (km)</t>
  </si>
  <si>
    <t>Tap Water EF at Facility Location</t>
  </si>
  <si>
    <t>Water Type EF</t>
  </si>
  <si>
    <t>Total Purchased Water EF</t>
  </si>
  <si>
    <t>Mass</t>
  </si>
  <si>
    <t>Transport Energy Use</t>
  </si>
  <si>
    <t>Energy Required by transport</t>
  </si>
  <si>
    <t>Volume Water</t>
  </si>
  <si>
    <t>Embodied (Upstream)</t>
  </si>
  <si>
    <t>(kg CO2-e /kg Water)</t>
  </si>
  <si>
    <t>(kWh/m3/km)</t>
  </si>
  <si>
    <t>(m3)</t>
  </si>
  <si>
    <r>
      <t xml:space="preserve">Imported </t>
    </r>
    <r>
      <rPr>
        <b/>
        <sz val="10"/>
        <color theme="1"/>
        <rFont val="Arial"/>
        <family val="2"/>
      </rPr>
      <t>Feedstock</t>
    </r>
    <r>
      <rPr>
        <sz val="10"/>
        <color theme="1"/>
        <rFont val="Arial"/>
        <family val="2"/>
      </rPr>
      <t xml:space="preserve"> Water</t>
    </r>
  </si>
  <si>
    <t>Water</t>
  </si>
  <si>
    <t>Other Imported Water 1</t>
  </si>
  <si>
    <t>Other Imported Water 2</t>
  </si>
  <si>
    <t>PUMPED RAW WATER (FROM OFFSITE)</t>
  </si>
  <si>
    <t>Water Source</t>
  </si>
  <si>
    <t>Energy Use at Water Source</t>
  </si>
  <si>
    <t>Energy Required</t>
  </si>
  <si>
    <t>Volume (m3)</t>
  </si>
  <si>
    <t>Bespoke EF</t>
  </si>
  <si>
    <t>(kWh/m3)</t>
  </si>
  <si>
    <t>(kg CO2-e/m3</t>
  </si>
  <si>
    <t>Pumped Raw Water Feedstock</t>
  </si>
  <si>
    <t>Other Pumped Raw Water</t>
  </si>
  <si>
    <t>ELECTRICITY ALLOCATION</t>
  </si>
  <si>
    <t>Electricity Category</t>
  </si>
  <si>
    <t>Electricity Quantities Allocated</t>
  </si>
  <si>
    <t>Electricity Usage Associated With Category</t>
  </si>
  <si>
    <t>Portion of Category Total to Allocate to This Process</t>
  </si>
  <si>
    <t>Emissions Category</t>
  </si>
  <si>
    <t>Total Emissions In Category</t>
  </si>
  <si>
    <t>Applicable Portion</t>
  </si>
  <si>
    <t>Total Electricity Consumption Used In This Process</t>
  </si>
  <si>
    <t xml:space="preserve">Electricity Import (Location) </t>
  </si>
  <si>
    <t>Renewable Electricity Allocation</t>
  </si>
  <si>
    <t>Onsite Renewable</t>
  </si>
  <si>
    <t>Electricity Import (Market)</t>
  </si>
  <si>
    <t>Electricity Supply</t>
  </si>
  <si>
    <t>Total Renewable</t>
  </si>
  <si>
    <t>Onsite Gen (Embodied)</t>
  </si>
  <si>
    <t>Fuel</t>
  </si>
  <si>
    <t>Grid Electricity Allocation</t>
  </si>
  <si>
    <t>Onsite Gen (Upstream)</t>
  </si>
  <si>
    <t>Grid</t>
  </si>
  <si>
    <t>Onsite Gen (Combustion)</t>
  </si>
  <si>
    <t>Fuel Combustion</t>
  </si>
  <si>
    <t>Electricity Generated via Fuel Combustion Allocation</t>
  </si>
  <si>
    <t>Onsite Gen (Direct)</t>
  </si>
  <si>
    <t>Onsite Combustion</t>
  </si>
  <si>
    <t>ONSITE GENERATED STEAM ALLOCATION</t>
  </si>
  <si>
    <t>Enter Quantity of Steam</t>
  </si>
  <si>
    <t>CHP Steam Allocation</t>
  </si>
  <si>
    <t>Portion Of Steam Allocated to This Process</t>
  </si>
  <si>
    <t>Total Onsite Steam Generation Emissions</t>
  </si>
  <si>
    <t>Embodied</t>
  </si>
  <si>
    <t>Combustion (Direct)</t>
  </si>
  <si>
    <t>Combustion</t>
  </si>
  <si>
    <t>Quantity and units must be specified. Either 1) Enter Supplier Specific Provided EF or 2) Select Boiler Fuel and Steam conditions to use default values</t>
  </si>
  <si>
    <t>STEAM IMPORTED AND CONSUMED</t>
  </si>
  <si>
    <t>Select Supplier Boiler Fuel</t>
  </si>
  <si>
    <t>Select Steam Conditions</t>
  </si>
  <si>
    <t>Scope 2 EF</t>
  </si>
  <si>
    <t>Scope 3 EF</t>
  </si>
  <si>
    <t>Estimated Emissions Factor</t>
  </si>
  <si>
    <t>NG scope 3</t>
  </si>
  <si>
    <t>Scope 3 Other Fuels</t>
  </si>
  <si>
    <t>Steam supply</t>
  </si>
  <si>
    <t>(kg CO2e/ GJ)</t>
  </si>
  <si>
    <t>(kg CO2-e/ GJ)</t>
  </si>
  <si>
    <t>(GJ/ kg Steam)</t>
  </si>
  <si>
    <t>(kg CO2-e/ kg Steam)</t>
  </si>
  <si>
    <t>Steam 1</t>
  </si>
  <si>
    <t>Steam 2</t>
  </si>
  <si>
    <t>Steam 3</t>
  </si>
  <si>
    <t>OTHER PRODUCTION INPUTS</t>
  </si>
  <si>
    <t>Name of Input</t>
  </si>
  <si>
    <t>Enter Quantity of Input</t>
  </si>
  <si>
    <t>(kg CO2-e/Unit Amount)</t>
  </si>
  <si>
    <t>(Unit)</t>
  </si>
  <si>
    <t>Other Input 1</t>
  </si>
  <si>
    <t>Other Input 2</t>
  </si>
  <si>
    <t>Other Input 3</t>
  </si>
  <si>
    <t>Other Input 4</t>
  </si>
  <si>
    <t>Other Inputs</t>
  </si>
  <si>
    <t>Leave EF Blank to use Default Emissions Factors, If Red No Default Exists for Given Fuel</t>
  </si>
  <si>
    <t>COMBUSTION FUELS - HEATING</t>
  </si>
  <si>
    <t>Enter Supplier Energy Content Factor (GJ/ m3 or kg)</t>
  </si>
  <si>
    <t>Enter Supplier Embodied EF (kg CO2-e/ GJ)</t>
  </si>
  <si>
    <t>Combustion Fuel 1</t>
  </si>
  <si>
    <t>Combustion Fuel 2</t>
  </si>
  <si>
    <t>Combustion Fuel 3</t>
  </si>
  <si>
    <t>Combustion Fuel 4</t>
  </si>
  <si>
    <t>Combustion Fuel 5</t>
  </si>
  <si>
    <t>INDUSTRIAL PROCESSES</t>
  </si>
  <si>
    <t>Select Process Type</t>
  </si>
  <si>
    <t>Select Gas Within System</t>
  </si>
  <si>
    <t>Enter Quantity of Gas</t>
  </si>
  <si>
    <t>GWP</t>
  </si>
  <si>
    <t>Stock</t>
  </si>
  <si>
    <t>Annual Leakage rate</t>
  </si>
  <si>
    <t>Batch Duration Leakage Rate</t>
  </si>
  <si>
    <t>Industrial process (Direct)</t>
  </si>
  <si>
    <t>Process 1</t>
  </si>
  <si>
    <t>Process 2</t>
  </si>
  <si>
    <t>Process 3</t>
  </si>
  <si>
    <t>Process 4</t>
  </si>
  <si>
    <t>Process 5</t>
  </si>
  <si>
    <t>Process 6</t>
  </si>
  <si>
    <t>Process 7</t>
  </si>
  <si>
    <t>OTHER EMISSIONS</t>
  </si>
  <si>
    <t>Enter Name of Emissions</t>
  </si>
  <si>
    <t>Select Emissions Category</t>
  </si>
  <si>
    <t>Enter Quantity of Emissions</t>
  </si>
  <si>
    <t>Select Units (CO2-e)</t>
  </si>
  <si>
    <t>Other Emissions 1</t>
  </si>
  <si>
    <t>Other Emissions 2</t>
  </si>
  <si>
    <t>Other Emissions 3</t>
  </si>
  <si>
    <t>Other Emissions 4</t>
  </si>
  <si>
    <t>ELECTRICITY SOLD/ EXPORTED</t>
  </si>
  <si>
    <t>Enter Quantity of Sold Electricity</t>
  </si>
  <si>
    <r>
      <t>CO</t>
    </r>
    <r>
      <rPr>
        <b/>
        <vertAlign val="subscript"/>
        <sz val="12"/>
        <rFont val="Arial"/>
        <family val="2"/>
      </rPr>
      <t>2</t>
    </r>
    <r>
      <rPr>
        <b/>
        <sz val="12"/>
        <rFont val="Arial"/>
        <family val="2"/>
      </rPr>
      <t>-e Displaced</t>
    </r>
  </si>
  <si>
    <t>Residual Market Factor</t>
  </si>
  <si>
    <t>Co-Allocation</t>
  </si>
  <si>
    <t>(kg CO2-e/kWh)</t>
  </si>
  <si>
    <t>Electricity Sold/ Exported</t>
  </si>
  <si>
    <t>STEAM SOLD/ EXPORTED</t>
  </si>
  <si>
    <t>Enter Quantity of Sold Steam</t>
  </si>
  <si>
    <t>Amount Sold in Relevant Units</t>
  </si>
  <si>
    <t>Amount Produced in Relevant Units</t>
  </si>
  <si>
    <t>Steam Sold/ Exported 1</t>
  </si>
  <si>
    <t>Steam Sold/ Exported 2</t>
  </si>
  <si>
    <t>Steam Sold/ Exported 3</t>
  </si>
  <si>
    <t>OXYGEN SOLD/ EXPORTED</t>
  </si>
  <si>
    <t>Enter Quantity Produced</t>
  </si>
  <si>
    <t>Enter Quantity Sold</t>
  </si>
  <si>
    <t>Amount Sold</t>
  </si>
  <si>
    <t>O2 Equivalent Power Factor</t>
  </si>
  <si>
    <t>Amount Produced</t>
  </si>
  <si>
    <t>(kWh/kgO2)</t>
  </si>
  <si>
    <r>
      <t>O</t>
    </r>
    <r>
      <rPr>
        <vertAlign val="subscript"/>
        <sz val="10"/>
        <color theme="1"/>
        <rFont val="Arial"/>
        <family val="2"/>
      </rPr>
      <t>2</t>
    </r>
    <r>
      <rPr>
        <sz val="10"/>
        <color theme="1"/>
        <rFont val="Arial"/>
        <family val="2"/>
      </rPr>
      <t xml:space="preserve"> Co-Product Sold/ Exported</t>
    </r>
  </si>
  <si>
    <t>OTHER CO-PRODUCT ALLOCATION</t>
  </si>
  <si>
    <t>Emissions Quantity (kg CO2-e)</t>
  </si>
  <si>
    <t>Quantity Units</t>
  </si>
  <si>
    <t>Emission Co-Allocation</t>
  </si>
  <si>
    <t>(Quantity Units)</t>
  </si>
  <si>
    <t>Other Product 1</t>
  </si>
  <si>
    <t>Other Product 2</t>
  </si>
  <si>
    <t>Other Product 3</t>
  </si>
  <si>
    <t>OFFSETS</t>
  </si>
  <si>
    <t>Type of Offset(s)</t>
  </si>
  <si>
    <t>Enter Quantity of Offsets (CO2-e)</t>
  </si>
  <si>
    <t>Associated Emissions</t>
  </si>
  <si>
    <t>Offset Generated and Surrendered</t>
  </si>
  <si>
    <t>Offset Generated and Sold</t>
  </si>
  <si>
    <t>OUTPUTS</t>
  </si>
  <si>
    <t>Pathway</t>
  </si>
  <si>
    <t>Reporting Item</t>
  </si>
  <si>
    <t>Value1</t>
  </si>
  <si>
    <t>Value2</t>
  </si>
  <si>
    <t>Value3</t>
  </si>
  <si>
    <t>Electrolysis</t>
  </si>
  <si>
    <t>Embodied (Upstream) Emissions</t>
  </si>
  <si>
    <t>Steam Supply Emissions</t>
  </si>
  <si>
    <t>Electricity Supply Emissions</t>
  </si>
  <si>
    <t>Industrial Process Emissions</t>
  </si>
  <si>
    <t>Fugitive Emissions</t>
  </si>
  <si>
    <t>N/A</t>
  </si>
  <si>
    <t>Gross Operating Emissions</t>
  </si>
  <si>
    <t>Gross Operating Emissions Intensity</t>
  </si>
  <si>
    <t>kg/ kg H2</t>
  </si>
  <si>
    <t>CCS Emissions</t>
  </si>
  <si>
    <t>Co-Product Electricity Allocations</t>
  </si>
  <si>
    <t>Co-Product Steam Allocations</t>
  </si>
  <si>
    <t>Co-product Captured CO2 Allocations</t>
  </si>
  <si>
    <t>Co-Product O2 Allocations</t>
  </si>
  <si>
    <t>Co-Product Argon Allocations</t>
  </si>
  <si>
    <t>Co-Product N2 Allocations</t>
  </si>
  <si>
    <t>Co-Products without Energy Contents</t>
  </si>
  <si>
    <t>Co-Products with Energy Contents</t>
  </si>
  <si>
    <t>CO2-e Stored by CCS</t>
  </si>
  <si>
    <t>Other Co-Product Allocations</t>
  </si>
  <si>
    <t>Offsets Generated and Sold</t>
  </si>
  <si>
    <t>Net Operating Emissions (All allocations)</t>
  </si>
  <si>
    <t>Net Operating Emissions</t>
  </si>
  <si>
    <t>Excess Co-Allocation</t>
  </si>
  <si>
    <t>Net Operating Emissions Intensity</t>
  </si>
  <si>
    <t>Transport Emissions</t>
  </si>
  <si>
    <t>Storage Emissions</t>
  </si>
  <si>
    <t>Post-Production Emissions</t>
  </si>
  <si>
    <t>Post-Production Emissions Intensity</t>
  </si>
  <si>
    <t>Transport and Storage Losses</t>
  </si>
  <si>
    <t>kg H2</t>
  </si>
  <si>
    <t>Gross Emissions Loss Correction</t>
  </si>
  <si>
    <t>kg / kg H2</t>
  </si>
  <si>
    <t>Net Emissions Loss Correction</t>
  </si>
  <si>
    <t>Product Delivered</t>
  </si>
  <si>
    <t>Gross Overall Emissions Intensity</t>
  </si>
  <si>
    <t>Net Overall Emissions Intensity</t>
  </si>
  <si>
    <t>Facility Identity</t>
  </si>
  <si>
    <t>Facility Location</t>
  </si>
  <si>
    <t>Facility Capacity</t>
  </si>
  <si>
    <t>t/ year</t>
  </si>
  <si>
    <t>Commencement of Facility Operation</t>
  </si>
  <si>
    <t>Production Pathway</t>
  </si>
  <si>
    <t>Hydrogen Produced</t>
  </si>
  <si>
    <t>Pressure and Temperature at Gate</t>
  </si>
  <si>
    <t>%</t>
  </si>
  <si>
    <t>Specification of Contaminants</t>
  </si>
  <si>
    <t>Batch Beginning Date</t>
  </si>
  <si>
    <t>Batch End Date</t>
  </si>
  <si>
    <t>Batch Quantity</t>
  </si>
  <si>
    <t>Quantity of Purchased Grid Electricity</t>
  </si>
  <si>
    <t>kWh</t>
  </si>
  <si>
    <t>Location Based Emissions Factor</t>
  </si>
  <si>
    <t>kg CO2e/ kWh</t>
  </si>
  <si>
    <t>Residual Electricity</t>
  </si>
  <si>
    <t>Residual Mix Factor</t>
  </si>
  <si>
    <t>Quantity of On-site Generation</t>
  </si>
  <si>
    <t>Emissions Factor for On-site Generation</t>
  </si>
  <si>
    <t>Sources of Purchased Water and Quantity</t>
  </si>
  <si>
    <t>Imported Water 1</t>
  </si>
  <si>
    <t>Imported Water 2</t>
  </si>
  <si>
    <t>Imported Water 3</t>
  </si>
  <si>
    <t>Pumped Raw Water</t>
  </si>
  <si>
    <t>Sources of Purchased Steam and Quantity</t>
  </si>
  <si>
    <t>Imported Steam 1</t>
  </si>
  <si>
    <t>Imported Steam 2</t>
  </si>
  <si>
    <t>Imported Steam 3</t>
  </si>
  <si>
    <t>Exported Steam 1</t>
  </si>
  <si>
    <t>Exported Steam 2</t>
  </si>
  <si>
    <t>Exported Steam 3</t>
  </si>
  <si>
    <t>CHP Fuel</t>
  </si>
  <si>
    <t>Other Elec Gen Fuel</t>
  </si>
  <si>
    <t>Heating Fuel 1</t>
  </si>
  <si>
    <t>Heating Fuel 2</t>
  </si>
  <si>
    <t>Heating Fuel 3</t>
  </si>
  <si>
    <t>Heating Fuel 4</t>
  </si>
  <si>
    <t>Heating Fuel 5</t>
  </si>
  <si>
    <t>Coal Gasification Reactor Type</t>
  </si>
  <si>
    <t>Sulphur Removal Technology</t>
  </si>
  <si>
    <t>Air Separation Technology</t>
  </si>
  <si>
    <t>Sulphur Waste Gas Processing Technology</t>
  </si>
  <si>
    <t>Quantity and Type of Vented GHG Gases</t>
  </si>
  <si>
    <t>Vent Source 1</t>
  </si>
  <si>
    <t>Vent Source 2</t>
  </si>
  <si>
    <t>Vent Source 3</t>
  </si>
  <si>
    <t>Quantity and Type of Flared GHG Gases</t>
  </si>
  <si>
    <t>Flare Source 1</t>
  </si>
  <si>
    <t>Quantity of Feedstock</t>
  </si>
  <si>
    <t>Quantity of Feedstock Used for Heating</t>
  </si>
  <si>
    <t>Embodied EF of Feedstock</t>
  </si>
  <si>
    <t>Type of CO2 Storage</t>
  </si>
  <si>
    <t>Transport Type of CO2 to Storage Location</t>
  </si>
  <si>
    <t>Quantity of CO2 Captured</t>
  </si>
  <si>
    <t>Quantity of CO2 Stored</t>
  </si>
  <si>
    <t>Quantity of CO2 sold</t>
  </si>
  <si>
    <t>Quantity of Fugitive CO2 Emissions Created During Injection Process</t>
  </si>
  <si>
    <t>Quantity of Fugitive CO2 Emissions from storage</t>
  </si>
  <si>
    <t>Quantity of Steam Produced</t>
  </si>
  <si>
    <t>Quantity of Steam Sold</t>
  </si>
  <si>
    <t>Quantity of Electricity Sold</t>
  </si>
  <si>
    <t>Quantity of Captured CO2 Sold</t>
  </si>
  <si>
    <t>Quantity of Slag Produced</t>
  </si>
  <si>
    <t>Quantity of Ash Produced</t>
  </si>
  <si>
    <t>Quantity of Nitrogen Produced</t>
  </si>
  <si>
    <t>Quantity of Crude Argon Produced</t>
  </si>
  <si>
    <t>Quantity of Oxygen Produced</t>
  </si>
  <si>
    <t>Quantity of Slag Sold</t>
  </si>
  <si>
    <t>Quantity of Ash Sold</t>
  </si>
  <si>
    <t>Quantity of Nitrogen Sold</t>
  </si>
  <si>
    <t>Quantity of Crude Argon Sold</t>
  </si>
  <si>
    <t>Quantity of Oxygen Sold</t>
  </si>
  <si>
    <t>Imported Water Feed</t>
  </si>
  <si>
    <t>m3</t>
  </si>
  <si>
    <t>Pumped Raw Water Feed</t>
  </si>
  <si>
    <t>Raw Water</t>
  </si>
  <si>
    <t>Major category</t>
  </si>
  <si>
    <t>Breakdown Sub Category</t>
  </si>
  <si>
    <t>EI (kg/ t)</t>
  </si>
  <si>
    <t>Emissions (kg CO2-e)</t>
  </si>
  <si>
    <t>Graph</t>
  </si>
  <si>
    <t>Upstream breakdown</t>
  </si>
  <si>
    <t>Water feedstock</t>
  </si>
  <si>
    <t>Other</t>
  </si>
  <si>
    <t>Process breakdown</t>
  </si>
  <si>
    <t>CCS</t>
  </si>
  <si>
    <t>Reductions breakdown</t>
  </si>
  <si>
    <t>Co-Product Captured CO2 Allocations</t>
  </si>
  <si>
    <t>Transport</t>
  </si>
  <si>
    <t>Postproduction breakdown</t>
  </si>
  <si>
    <t>Storage</t>
  </si>
  <si>
    <t>Transport_loss</t>
  </si>
  <si>
    <t>Product Losses</t>
  </si>
  <si>
    <t>Storage_loss</t>
  </si>
  <si>
    <t>PRODUCTION PATHWAY 2: NATURAL GAS STEAM METHANE REFORMING INPUTS SHEET</t>
  </si>
  <si>
    <t>Natural Gas Feedstock Composition</t>
  </si>
  <si>
    <t>Syngas Purification Technology</t>
  </si>
  <si>
    <t>Air seperation technology</t>
  </si>
  <si>
    <t>Volume</t>
  </si>
  <si>
    <t>Pumped Water 1</t>
  </si>
  <si>
    <t>Portion Of Category Allocated to This Process</t>
  </si>
  <si>
    <t>Quantity and units must be specified. Either 1) Enter supplier provided EF or 2) Select Boiler Fuel and Steam conditions to use default values</t>
  </si>
  <si>
    <t>Steam Supply</t>
  </si>
  <si>
    <t>Other inputs</t>
  </si>
  <si>
    <t>Leave Blank to use Default Emissions Factor, If Cell is highlighted Red No Default Exists</t>
  </si>
  <si>
    <t>Enter Quantity of Feedstock</t>
  </si>
  <si>
    <t>Amount Feedstock</t>
  </si>
  <si>
    <t>Energy Content Factor GJ/unit amount</t>
  </si>
  <si>
    <t>(m3 or t)</t>
  </si>
  <si>
    <t>Natural Gas Feedstock</t>
  </si>
  <si>
    <t>Natural Gas Distributed in a Pipeline</t>
  </si>
  <si>
    <t>Natural gas feedstock</t>
  </si>
  <si>
    <t>Enter Supplier Embodied EF 
(kg CO2-e/ GJ)</t>
  </si>
  <si>
    <t>Leakage rate</t>
  </si>
  <si>
    <t>Industrial Process (Direct)</t>
  </si>
  <si>
    <t>Enter Vented and Flared Gas Amounts or Leave Blank and use Percentage Flared for Default Instead, Note for SMR Default Flare% is 0</t>
  </si>
  <si>
    <t>GAS STREAM FUGITIVE EMISSIONS</t>
  </si>
  <si>
    <t>Total Gas Stream Volume</t>
  </si>
  <si>
    <t>Volume Gas Vented</t>
  </si>
  <si>
    <t>Mass Gas Flared</t>
  </si>
  <si>
    <t>Typical Flare Rate</t>
  </si>
  <si>
    <t>Percentage of Exhaust Flared</t>
  </si>
  <si>
    <t>Select Technology Type</t>
  </si>
  <si>
    <t>Enter Volume of Exhausted Gas</t>
  </si>
  <si>
    <t>Enter Mass of Flared Gas</t>
  </si>
  <si>
    <t>Select units</t>
  </si>
  <si>
    <t>Bespoke Flaring EF 
(kg CO2-e/kg flared)</t>
  </si>
  <si>
    <t>Enter Percentage of Exhaust Flared</t>
  </si>
  <si>
    <t xml:space="preserve"> (kg flare/kg H2)</t>
  </si>
  <si>
    <t>Vent Stream 1</t>
  </si>
  <si>
    <t>SMR</t>
  </si>
  <si>
    <t>Leave Blank to use Default Values</t>
  </si>
  <si>
    <t>REPORTABLE FUGITIVE EMISSIONS</t>
  </si>
  <si>
    <t>Enter Molar Fraction of Component in Vent Stream if Known</t>
  </si>
  <si>
    <t>Molecular Weight</t>
  </si>
  <si>
    <t>Volume Vented Gas</t>
  </si>
  <si>
    <t>Molar Volume Conversion</t>
  </si>
  <si>
    <t>Flaring Emissions Factor</t>
  </si>
  <si>
    <t xml:space="preserve">Quantity gas </t>
  </si>
  <si>
    <t>Gas</t>
  </si>
  <si>
    <t>Fugitive (Direct)</t>
  </si>
  <si>
    <t>(g/ mol)</t>
  </si>
  <si>
    <t xml:space="preserve"> (m3/kg-mol)</t>
  </si>
  <si>
    <t>(kg CO2 -e/kg fuel flared)</t>
  </si>
  <si>
    <t>CO2 Vented</t>
  </si>
  <si>
    <t>CO2</t>
  </si>
  <si>
    <t>Methane Vented</t>
  </si>
  <si>
    <t>Methane</t>
  </si>
  <si>
    <t>Nitrous Oxide Vented</t>
  </si>
  <si>
    <t>Nitrous Oxide</t>
  </si>
  <si>
    <t>Flared Gas</t>
  </si>
  <si>
    <t>CARBON CAPTURE AND STORAGE EMISSIONS</t>
  </si>
  <si>
    <t>Enter Quantity</t>
  </si>
  <si>
    <r>
      <t>CO</t>
    </r>
    <r>
      <rPr>
        <b/>
        <vertAlign val="subscript"/>
        <sz val="12"/>
        <rFont val="Arial"/>
        <family val="2"/>
      </rPr>
      <t>2</t>
    </r>
    <r>
      <rPr>
        <b/>
        <sz val="12"/>
        <rFont val="Arial"/>
        <family val="2"/>
      </rPr>
      <t>-e</t>
    </r>
  </si>
  <si>
    <r>
      <t>Quantity of CO</t>
    </r>
    <r>
      <rPr>
        <i/>
        <sz val="10"/>
        <color theme="1"/>
        <rFont val="Arial"/>
        <family val="2"/>
      </rPr>
      <t>2</t>
    </r>
    <r>
      <rPr>
        <sz val="10"/>
        <color theme="1"/>
        <rFont val="Arial"/>
        <family val="2"/>
      </rPr>
      <t xml:space="preserve"> Captured</t>
    </r>
  </si>
  <si>
    <t>Quantity of Captured CO2 Sent for Storage</t>
  </si>
  <si>
    <t>Captured for export</t>
  </si>
  <si>
    <t>Quantity of CO2-e Geologically stored</t>
  </si>
  <si>
    <t>Emissions in CO2-e from CCS transport</t>
  </si>
  <si>
    <t>CCS Emissions (Upstream)</t>
  </si>
  <si>
    <t>Emissions in CO2-e from CCS injection</t>
  </si>
  <si>
    <t>Emissions in CO2-e from CCS storage</t>
  </si>
  <si>
    <t>CSS Emissions (Upstream)</t>
  </si>
  <si>
    <t xml:space="preserve">Residual Market Factor </t>
  </si>
  <si>
    <t>4 bar, saturation temp</t>
  </si>
  <si>
    <t>Natural Gas Reforming</t>
  </si>
  <si>
    <t>kg CO2-e/ kWh</t>
  </si>
  <si>
    <t>Quantity of Steam Exported</t>
  </si>
  <si>
    <t>kg CO2-e/ m3</t>
  </si>
  <si>
    <t>Quantity of CO2 Sent to Storage</t>
  </si>
  <si>
    <t>Transport Loss</t>
  </si>
  <si>
    <t>Storage Loss</t>
  </si>
  <si>
    <t>Breakdown Sub category</t>
  </si>
  <si>
    <t>PRODUCTION PATHWAY 3: COAL GASIFICATION INPUTS SHEET</t>
  </si>
  <si>
    <t>Coal Feedstock Composition</t>
  </si>
  <si>
    <t>Pressure Level at Gate</t>
  </si>
  <si>
    <t xml:space="preserve"> CHP Generated Steam Consumed by Process</t>
  </si>
  <si>
    <t xml:space="preserve"> (Unit)</t>
  </si>
  <si>
    <t>FEEDSTOCK</t>
  </si>
  <si>
    <t xml:space="preserve">Amount Feedstock </t>
  </si>
  <si>
    <t>(GJ/Unit amount)</t>
  </si>
  <si>
    <t>Coal feedstock</t>
  </si>
  <si>
    <t>(GJ/ Unit Amount)</t>
  </si>
  <si>
    <t xml:space="preserve">Typical Flare Rate </t>
  </si>
  <si>
    <t>Exhaust Source</t>
  </si>
  <si>
    <t>(kg flare/kg H2)</t>
  </si>
  <si>
    <t>Acid Gas Removal</t>
  </si>
  <si>
    <t>Sulphur Recovery Unit</t>
  </si>
  <si>
    <t>PSA Offgas Flue</t>
  </si>
  <si>
    <t xml:space="preserve">Volume Vented Gas </t>
  </si>
  <si>
    <t>Molar Volume Conversion (m3/kg-mol)</t>
  </si>
  <si>
    <t>Quantity Gas Flared</t>
  </si>
  <si>
    <t>Acid Gas Removal Exhaust</t>
  </si>
  <si>
    <t>(kg/mol)</t>
  </si>
  <si>
    <t>(m3/kg-mol)</t>
  </si>
  <si>
    <t>Sulphur Recovery Unit Exhaust</t>
  </si>
  <si>
    <t>Flared Gas PSA</t>
  </si>
  <si>
    <t xml:space="preserve">Amount </t>
  </si>
  <si>
    <t>Quantity of Captured CO2 Sent for storage</t>
  </si>
  <si>
    <t>Captured for Export</t>
  </si>
  <si>
    <t>Residual Market Factor (kg CO2-e/kWh)</t>
  </si>
  <si>
    <t>20 bar, saturation temp</t>
  </si>
  <si>
    <t>Leave ASU Energy Blank to Use Default Values</t>
  </si>
  <si>
    <t>Enter Energy used by ASU If Known</t>
  </si>
  <si>
    <t xml:space="preserve">Default Estimated Energy into ASU </t>
  </si>
  <si>
    <t>Energy into ASU</t>
  </si>
  <si>
    <t>Allocation of Energy Based on Air Separation Ratio</t>
  </si>
  <si>
    <t>Percentage of Produced Gas Sold</t>
  </si>
  <si>
    <t>Maximum Producible</t>
  </si>
  <si>
    <t>Default Production Rate</t>
  </si>
  <si>
    <t>Amount  Produced</t>
  </si>
  <si>
    <t>Air Separation Unit</t>
  </si>
  <si>
    <t xml:space="preserve"> (kWH)</t>
  </si>
  <si>
    <t xml:space="preserve"> (kg CO2-e/kWh)</t>
  </si>
  <si>
    <t xml:space="preserve"> (kg)</t>
  </si>
  <si>
    <t>Oxygen</t>
  </si>
  <si>
    <t>Argon</t>
  </si>
  <si>
    <t>Nitrogen</t>
  </si>
  <si>
    <t>Enter Emissions Factor
(kg CO2-e/Unit Co-Product)</t>
  </si>
  <si>
    <t xml:space="preserve">Amount Produced </t>
  </si>
  <si>
    <t>(kg CO2-e/Unit Co-Product)</t>
  </si>
  <si>
    <t>(Selected Units)</t>
  </si>
  <si>
    <t>Slag</t>
  </si>
  <si>
    <t>Ash</t>
  </si>
  <si>
    <t>Product 3</t>
  </si>
  <si>
    <t>Product 4</t>
  </si>
  <si>
    <t>Enter Specific Energy of Co-Product (MJ/kg)</t>
  </si>
  <si>
    <t xml:space="preserve">Energy Content Hydrogen </t>
  </si>
  <si>
    <t xml:space="preserve">Energy Content Coal Co-Product </t>
  </si>
  <si>
    <t xml:space="preserve">Mass Sold </t>
  </si>
  <si>
    <t xml:space="preserve">Emissions Less Other Allocations </t>
  </si>
  <si>
    <t>Energy Content of H2 and considered co products</t>
  </si>
  <si>
    <t xml:space="preserve">Mass Produced </t>
  </si>
  <si>
    <t>(MJ)</t>
  </si>
  <si>
    <t>Product 5</t>
  </si>
  <si>
    <t>Product 6</t>
  </si>
  <si>
    <t>Product 7</t>
  </si>
  <si>
    <t>Net Operating Emisssions (All allocations)</t>
  </si>
  <si>
    <t>ROUTES - VEHICULAR TRANSPORT</t>
  </si>
  <si>
    <t>Emissions Estimation Method</t>
  </si>
  <si>
    <t>Fuel Combustion Emissions Factor (kg CO2-e/ GJ)</t>
  </si>
  <si>
    <t>Transport Mode</t>
  </si>
  <si>
    <t>Select Vehicle Fuel</t>
  </si>
  <si>
    <t>Heavy Vehicle Design Standard</t>
  </si>
  <si>
    <t>Fuel Energy Content Factor (GJ/ kL)</t>
  </si>
  <si>
    <t>Fuel Embodied Emissions Factor (kg CO2-e/ GJ)</t>
  </si>
  <si>
    <t>Energy Content Factor (GJ/ kL)</t>
  </si>
  <si>
    <t>Direct Emissions Factor (kgCO2-e/ GJ)</t>
  </si>
  <si>
    <t>Embodied Emissions Factor(kgCO2-e/ kL)</t>
  </si>
  <si>
    <t>ShowTruck?</t>
  </si>
  <si>
    <t>Route 1</t>
  </si>
  <si>
    <t>Fuel Consumption Method</t>
  </si>
  <si>
    <t>Articulated Truck - bulk gas container</t>
  </si>
  <si>
    <t>Diesel oil</t>
  </si>
  <si>
    <t>Route 2</t>
  </si>
  <si>
    <t>Route 3</t>
  </si>
  <si>
    <t>Route 4</t>
  </si>
  <si>
    <t>VEHICULAR TRANSPORT - FUEL CONSUMPTION METHOD</t>
  </si>
  <si>
    <t>Measurement Type</t>
  </si>
  <si>
    <t>Fuel Quantity (kL)</t>
  </si>
  <si>
    <t>Route Distance (km)</t>
  </si>
  <si>
    <t>Vehicle Fuel Efficiency (L/ 100km)</t>
  </si>
  <si>
    <t>Direct</t>
  </si>
  <si>
    <t>Upstream</t>
  </si>
  <si>
    <t>Distance Tansported (km)</t>
  </si>
  <si>
    <t>Direct Emissions (kg CO2-e)</t>
  </si>
  <si>
    <t>Embodied Emissions (kg CO2-e)</t>
  </si>
  <si>
    <t>Route estimated using this method</t>
  </si>
  <si>
    <t>Receipts and Allocations</t>
  </si>
  <si>
    <t>VEHICULAR TRANSPORT - LOAD DISTANCE METHOD</t>
  </si>
  <si>
    <t>Total Load Mass on Route (t)</t>
  </si>
  <si>
    <t>Vehicle Fuel Efficiency (L/ t.km)</t>
  </si>
  <si>
    <t>Fleet or National Direct Emissions Factor (kg CO2-e/ t.km)</t>
  </si>
  <si>
    <t>Fleet or National Upstream Emissions Factor (kg CO2-e/ t.km)</t>
  </si>
  <si>
    <t>Distance Transported (km)</t>
  </si>
  <si>
    <t>Total Load Mass (t)</t>
  </si>
  <si>
    <t>Direct Emissions Factor (kg CO2-e/ t.km)</t>
  </si>
  <si>
    <t>Embodied emissions factor (kg CO2-e/ t.km)</t>
  </si>
  <si>
    <t>ALLOCATIONS TO OTHER PRODUCTS ON ROUTE</t>
  </si>
  <si>
    <t>Route Type</t>
  </si>
  <si>
    <t>Mass of other products in this route (t)</t>
  </si>
  <si>
    <t>Distance Travelled by other Products in this route (km)</t>
  </si>
  <si>
    <t>Total Mass on Route (km)</t>
  </si>
  <si>
    <t>Mass of other products on route (t)</t>
  </si>
  <si>
    <t>Distance travelled by other products on route</t>
  </si>
  <si>
    <t>Portion Allocated to Other Products</t>
  </si>
  <si>
    <t>Total Direct Emissions from Route (kg CO2-e)</t>
  </si>
  <si>
    <t>Total Embodied Emissions From Route (kg CO2-e)</t>
  </si>
  <si>
    <t>Mass Already Provided</t>
  </si>
  <si>
    <t>Distance Already Provided</t>
  </si>
  <si>
    <t>Is Route Eligible for Co Allocation</t>
  </si>
  <si>
    <t>Multi-product Legs</t>
  </si>
  <si>
    <t>Pipeline Distance (km)</t>
  </si>
  <si>
    <t>Total Mass Transported in Pipeline (t)</t>
  </si>
  <si>
    <t>Pipeline 1</t>
  </si>
  <si>
    <t>Pipeline 2</t>
  </si>
  <si>
    <t>ALLOCATIONS TO OTHER PRODUCTS IN PIPELINE</t>
  </si>
  <si>
    <t>Distance Travelled by other Products in this pipeline</t>
  </si>
  <si>
    <t>Mass of other products in this pipeline</t>
  </si>
  <si>
    <t>Is Pipeline Elligible for Co-Allocation</t>
  </si>
  <si>
    <t>VEHICULAR TRANSPORT - LOSS CORRECTION</t>
  </si>
  <si>
    <t>Approach</t>
  </si>
  <si>
    <t>Quantity of Registered Product Delivered (t)</t>
  </si>
  <si>
    <t>Loss Factor (t/ km)</t>
  </si>
  <si>
    <t>Distance Registered Product was Transported (km)</t>
  </si>
  <si>
    <t>Quantity Transported (t)</t>
  </si>
  <si>
    <t>Quantity Delivered (t)</t>
  </si>
  <si>
    <t>Transported distance (km)</t>
  </si>
  <si>
    <t>Losses (t)</t>
  </si>
  <si>
    <t>PIPELINE - LOSS CORRECTION</t>
  </si>
  <si>
    <t>Annual Loss Factor (t/ km)</t>
  </si>
  <si>
    <t>Transported Distance (km)</t>
  </si>
  <si>
    <t>Annualised Loss Factor (t/ km)</t>
  </si>
  <si>
    <t>ELECTRICITY ALLOCATION - STORAGE</t>
  </si>
  <si>
    <t>COMBUSTION FUELS - STORAGE</t>
  </si>
  <si>
    <t>STORAGE - LOSS CORRECTION</t>
  </si>
  <si>
    <t>Produced Quantity Placed into Storage (t)</t>
  </si>
  <si>
    <t>Quantity Remaining on Removal (t)</t>
  </si>
  <si>
    <t>Loss Factor (t/ day)</t>
  </si>
  <si>
    <t>Storage Duration (days)</t>
  </si>
  <si>
    <t>Quantity Placed into Storage (t)</t>
  </si>
  <si>
    <t>Quantity Retrieved on Removal (t)</t>
  </si>
  <si>
    <t>Loss Factor (t/day)</t>
  </si>
  <si>
    <t>Storage Losses</t>
  </si>
  <si>
    <t>Component</t>
  </si>
  <si>
    <t>Line Item</t>
  </si>
  <si>
    <t>Value</t>
  </si>
  <si>
    <t>kg CO2-e</t>
  </si>
  <si>
    <t>Co-Allocation Embodied</t>
  </si>
  <si>
    <t>Co-Allocation Direct</t>
  </si>
  <si>
    <t>Total Co-Allocations</t>
  </si>
  <si>
    <t>Total Transport Emissions</t>
  </si>
  <si>
    <t>Total Storage Emissions</t>
  </si>
  <si>
    <t>Losses</t>
  </si>
  <si>
    <t>Vehicle transport losses</t>
  </si>
  <si>
    <t>Pipeline transport lossess</t>
  </si>
  <si>
    <t>Storage losses</t>
  </si>
  <si>
    <t>Supporting Information</t>
  </si>
  <si>
    <t>Transport method</t>
  </si>
  <si>
    <t>Transport distance</t>
  </si>
  <si>
    <t>km</t>
  </si>
  <si>
    <t>Storage duration</t>
  </si>
  <si>
    <t>days</t>
  </si>
  <si>
    <r>
      <rPr>
        <b/>
        <sz val="12"/>
        <color theme="1"/>
        <rFont val="Arial"/>
        <family val="2"/>
      </rPr>
      <t>Guarantee of Origin:</t>
    </r>
    <r>
      <rPr>
        <sz val="12"/>
        <color theme="1"/>
        <rFont val="Arial"/>
        <family val="2"/>
      </rPr>
      <t xml:space="preserve">
Hydrogen Production Emissions Calculator</t>
    </r>
  </si>
  <si>
    <t>Relevant Set of Reporting Items</t>
  </si>
  <si>
    <t>Table Name For Reporting Items</t>
  </si>
  <si>
    <t>ElectrolysisReportingItemsTable</t>
  </si>
  <si>
    <t>ReformingReportingItemsTable</t>
  </si>
  <si>
    <t>GasificationReportingItemsTable</t>
  </si>
  <si>
    <t>PRODUCT SPECIFICATION</t>
  </si>
  <si>
    <t>GROSS EMISSIONS OUTPUTS</t>
  </si>
  <si>
    <t>Emissions (CO2-e)</t>
  </si>
  <si>
    <t>NET EMISSIONS OUTPUTS</t>
  </si>
  <si>
    <t>EMISSIONS POST-PRODUCTION</t>
  </si>
  <si>
    <t>ELECTRICITY</t>
  </si>
  <si>
    <t>Quantity</t>
  </si>
  <si>
    <t>OTHER UTILITIES</t>
  </si>
  <si>
    <t>EF (kg CO2-e/ kg or L)</t>
  </si>
  <si>
    <t>Properties and Quantities of Exported Steam</t>
  </si>
  <si>
    <t>FUEL FEEDSTOCK</t>
  </si>
  <si>
    <t>Fuel Feedstock - Heating</t>
  </si>
  <si>
    <t>PROCESS</t>
  </si>
  <si>
    <t>WASTE AND/ OR CO-PRODUCTS</t>
  </si>
  <si>
    <t>Quantity of Product 3 Produced</t>
  </si>
  <si>
    <t>Quantity of Product 4 Produced</t>
  </si>
  <si>
    <t>Quantity of Product 5 Produced</t>
  </si>
  <si>
    <t>Quantity of Product 6 Produced</t>
  </si>
  <si>
    <t>Quantity of Product 7 Produced</t>
  </si>
  <si>
    <t>Quantity of Product 3 Sold</t>
  </si>
  <si>
    <t>Quantity of Product 4 Sold</t>
  </si>
  <si>
    <t>Quantity of Product 5 Sold</t>
  </si>
  <si>
    <t>Quantity of Product 6 Sold</t>
  </si>
  <si>
    <t>Quantity of Product 7 Sold</t>
  </si>
  <si>
    <t>CARBON DIOXIDE TREATMENT</t>
  </si>
  <si>
    <t>CONDITIONING PATHWAY 1: AMMONIA PRODUCTION</t>
  </si>
  <si>
    <t>CO2-e of Imported Hydrogen</t>
  </si>
  <si>
    <t>Facility Ammonia Production Capacity per Annum</t>
  </si>
  <si>
    <t>Integrated Hydrogen Production with Ammonia Production</t>
  </si>
  <si>
    <t>Ammonia Production Capacity (t)</t>
  </si>
  <si>
    <t>Hydrogen Consumed (kg)</t>
  </si>
  <si>
    <t>Hydrogen Emissions Intensity (kg CO2-e/ kg H2)</t>
  </si>
  <si>
    <t>Embodied Emissions of Imported Hydrogen (kg)</t>
  </si>
  <si>
    <t>Use hydrogen information from production tab</t>
  </si>
  <si>
    <t>Quantity of Hydrogen Consumed</t>
  </si>
  <si>
    <t>Emissions Intensity of Hydrogen Consumed</t>
  </si>
  <si>
    <t>kg CO2-e/ kg H2</t>
  </si>
  <si>
    <t>Quantity of Ammonia Produced (t)</t>
  </si>
  <si>
    <t>Quantity of Ammonia Produced</t>
  </si>
  <si>
    <t>Temperature and Pressure Level at Gate</t>
  </si>
  <si>
    <r>
      <t>Enter Bespoke Embodied EF    (kgCO</t>
    </r>
    <r>
      <rPr>
        <b/>
        <vertAlign val="subscript"/>
        <sz val="12"/>
        <color theme="1"/>
        <rFont val="Arial"/>
        <family val="2"/>
      </rPr>
      <t>2</t>
    </r>
    <r>
      <rPr>
        <b/>
        <sz val="12"/>
        <color theme="1"/>
        <rFont val="Arial"/>
        <family val="2"/>
      </rPr>
      <t>-e/kg water)</t>
    </r>
  </si>
  <si>
    <t>For Raw Water Directly Pumped from Source to Site</t>
  </si>
  <si>
    <t>Enter Bespoke Embodied EF        (kg CO2-e/m3 water)</t>
  </si>
  <si>
    <t>Enter Supplier Provided EF 
(kg CO2-e/ kg Steam)</t>
  </si>
  <si>
    <t>Enter embodied EF (kg CO2-e/Unit Amount)</t>
  </si>
  <si>
    <t>Enter Supplier Sourced Combustion EF (kg CO2-e/ GJ)</t>
  </si>
  <si>
    <t>Industrial Process</t>
  </si>
  <si>
    <t>OTHER CO-PRODUCTS SOLD/ EXPORTED</t>
  </si>
  <si>
    <t>Emissions Breakdown Lookup Table</t>
  </si>
  <si>
    <t>Certificate Process</t>
  </si>
  <si>
    <t>Relevant Emissions Reference</t>
  </si>
  <si>
    <t>Ammonia Production</t>
  </si>
  <si>
    <t>Embodied Emissions</t>
  </si>
  <si>
    <t>ElectrolysisEmissionsBreakdown</t>
  </si>
  <si>
    <t>reformingEmissionsBreakdown</t>
  </si>
  <si>
    <t>gasificationEmissionsBreakdown</t>
  </si>
  <si>
    <t>kg /kg NH3</t>
  </si>
  <si>
    <t>CCS emissions</t>
  </si>
  <si>
    <t>Sold Electricity Allocations</t>
  </si>
  <si>
    <t>Sold Steam Allocations</t>
  </si>
  <si>
    <t>Sold O2 Allocations</t>
  </si>
  <si>
    <t>Sold Argon Allocations</t>
  </si>
  <si>
    <t>Sold Captured CO2 Allocations</t>
  </si>
  <si>
    <t>Sold Nitrogen Allocations</t>
  </si>
  <si>
    <t>Sold Coal Co-Products without Energy Contents</t>
  </si>
  <si>
    <t>Sold Coal Co-Products with Energy Contents</t>
  </si>
  <si>
    <t>Emissions Stored by CCS</t>
  </si>
  <si>
    <t>Other Sold Co-Product Allocations</t>
  </si>
  <si>
    <t>kg / kg NH3</t>
  </si>
  <si>
    <t>t/annum</t>
  </si>
  <si>
    <t>Product Quantity</t>
  </si>
  <si>
    <t>Temperature and Pressure at Gate</t>
  </si>
  <si>
    <t>kgCO2-e/ kWh</t>
  </si>
  <si>
    <t>kg CO2-e / kWh</t>
  </si>
  <si>
    <t>Emissions Intensity of Hydrogen Utilised</t>
  </si>
  <si>
    <t>kg CO2e/ kg H2</t>
  </si>
  <si>
    <t>Emissions Allocated to Electricity Sold</t>
  </si>
  <si>
    <t>Emissions Allocated to Steam</t>
  </si>
  <si>
    <t>Emissions Allocated to Oxygen</t>
  </si>
  <si>
    <t>Quantity of Argon Produced</t>
  </si>
  <si>
    <t>Quantity of Argon Sold</t>
  </si>
  <si>
    <t>Emissions Allocated to Argon</t>
  </si>
  <si>
    <t>Hydrogen Sold</t>
  </si>
  <si>
    <t>Emissions Allocated to Hydrogen</t>
  </si>
  <si>
    <t>Makeup Feedstock</t>
  </si>
  <si>
    <t>Hydrogen Feedstock</t>
  </si>
  <si>
    <t>Co-Product captured CO2 Allocations</t>
  </si>
  <si>
    <t xml:space="preserve"> </t>
  </si>
  <si>
    <t>CONDITIONING PATHWAY 2: HYDROGEN LIQUEFACTION</t>
  </si>
  <si>
    <t>Facility Liquid Hydrogen Production Capacity per Annum</t>
  </si>
  <si>
    <t>Integrated Hydrogen Production with Hydrogen Liquefaction</t>
  </si>
  <si>
    <t>Liquid Hydrogen Production Capacity (t)</t>
  </si>
  <si>
    <t>Hydrogen feedstock emissions (kg)</t>
  </si>
  <si>
    <t>Quantity of Liquid Hydrogen Produced (t)</t>
  </si>
  <si>
    <t>Quantity of Liquid Hydrogen Produced</t>
  </si>
  <si>
    <t>Industrial process</t>
  </si>
  <si>
    <t>Hydrogen Liquefaction</t>
  </si>
  <si>
    <t>kg /kg H2</t>
  </si>
  <si>
    <t>t LH2</t>
  </si>
  <si>
    <t>kg LH2</t>
  </si>
  <si>
    <t>CONDITIONING PATHWAY 3: LOHC - HYDROGENATION</t>
  </si>
  <si>
    <t>Facility LOHC Production Capacity per Annum</t>
  </si>
  <si>
    <t>LOHC Production Pathway</t>
  </si>
  <si>
    <t>Integrated Hydrogen Production with LOHC Conversion</t>
  </si>
  <si>
    <t>LOHC Production Capacity (t)</t>
  </si>
  <si>
    <t>Use Hydrogen Information from Production Tab</t>
  </si>
  <si>
    <t>Quantity of LOHC Produced (t)</t>
  </si>
  <si>
    <t>Quantity of LOHC Produced</t>
  </si>
  <si>
    <t>Feedstock</t>
  </si>
  <si>
    <r>
      <t>(kg CO</t>
    </r>
    <r>
      <rPr>
        <b/>
        <vertAlign val="subscript"/>
        <sz val="12"/>
        <color theme="0"/>
        <rFont val="Arial"/>
        <family val="2"/>
      </rPr>
      <t>2</t>
    </r>
    <r>
      <rPr>
        <b/>
        <sz val="12"/>
        <color theme="0"/>
        <rFont val="Arial"/>
        <family val="2"/>
      </rPr>
      <t xml:space="preserve"> -e / kg)</t>
    </r>
  </si>
  <si>
    <t>Recycled Feedstock</t>
  </si>
  <si>
    <t>Makeup feedstock</t>
  </si>
  <si>
    <t>HYDROGEN SOLD/ EXPORTED</t>
  </si>
  <si>
    <t>(kg CO2-e/ kg H2)</t>
  </si>
  <si>
    <r>
      <rPr>
        <vertAlign val="subscript"/>
        <sz val="10"/>
        <color theme="1"/>
        <rFont val="Arial"/>
        <family val="2"/>
      </rPr>
      <t>H2</t>
    </r>
    <r>
      <rPr>
        <sz val="10"/>
        <color theme="1"/>
        <rFont val="Arial"/>
        <family val="2"/>
      </rPr>
      <t xml:space="preserve"> Co-Product Sold/ Exported</t>
    </r>
  </si>
  <si>
    <t>LOHC - Hydrogenation</t>
  </si>
  <si>
    <t>Total Feedstock</t>
  </si>
  <si>
    <t>Co-Products without Energy Contents Allocations</t>
  </si>
  <si>
    <t>Co-Products with Energy Contents Allocations</t>
  </si>
  <si>
    <t>Fleet or National Embodied Emissions Factor (kg CO2-e/ t.km)</t>
  </si>
  <si>
    <t>Embodied emissions factor (kg CO2-e/ tkm)</t>
  </si>
  <si>
    <t>PIPELINES</t>
  </si>
  <si>
    <t>Total Load Mass Transported in Pipeline (t)</t>
  </si>
  <si>
    <t>Direct Emissions Factor (kg CO2-e/ km)</t>
  </si>
  <si>
    <t>Embodied Emissions Factor (kg CO2-e/ km)</t>
  </si>
  <si>
    <t>Vehicle Transport Losses</t>
  </si>
  <si>
    <t>Pipeline Transport Lossess</t>
  </si>
  <si>
    <t>Transport Method</t>
  </si>
  <si>
    <t>Transport Distance</t>
  </si>
  <si>
    <t>Storage Duration</t>
  </si>
  <si>
    <t>AmmoniaReportingItemsTable</t>
  </si>
  <si>
    <t>HydrogenLiquefactionReportingItemsTable</t>
  </si>
  <si>
    <t>LOHCHydrogenationReportingItemsTable</t>
  </si>
  <si>
    <t>Purity level at the Gate</t>
  </si>
  <si>
    <t>GROSS EMISSION OUTPUTS</t>
  </si>
  <si>
    <t>Quantity (kg)</t>
  </si>
  <si>
    <t>EF (kg CO2-e/ kg)</t>
  </si>
  <si>
    <t>HYDROGEN</t>
  </si>
  <si>
    <t>WASTE AND OTHER CO-PRODUCTS</t>
  </si>
  <si>
    <t>Feedstock Type</t>
  </si>
  <si>
    <t>Emissions Factor (kg CO2-e/ kg)</t>
  </si>
  <si>
    <t>DOWNSTREAM PATHWAY 1: AMMONIA CRACKING</t>
  </si>
  <si>
    <t>Use Ammonia Information from Conditioning Tab</t>
  </si>
  <si>
    <t>Hydrogen Production Capacity (t)</t>
  </si>
  <si>
    <t>Quantity of Ammonia Consumed (kg)</t>
  </si>
  <si>
    <t>Consumed Ammonia EI (kg CO2-e/ kg NH3)</t>
  </si>
  <si>
    <t>Ammonia Feedstock Emissions (kg CO2-e)</t>
  </si>
  <si>
    <t>Quantity of Ammonia Consumed</t>
  </si>
  <si>
    <t>Emissions Intensity of Ammonia Consumed</t>
  </si>
  <si>
    <t>kg CO2-e/ kg NH3</t>
  </si>
  <si>
    <t>COMBUSTION FUELS - FURNACE</t>
  </si>
  <si>
    <t>CSS Emissions</t>
  </si>
  <si>
    <t>NITROGEN SOLD/ EXPORTED</t>
  </si>
  <si>
    <t>N2 Equivalent Power Factor</t>
  </si>
  <si>
    <r>
      <rPr>
        <vertAlign val="subscript"/>
        <sz val="10"/>
        <color theme="1"/>
        <rFont val="Arial"/>
        <family val="2"/>
      </rPr>
      <t>N2</t>
    </r>
    <r>
      <rPr>
        <sz val="10"/>
        <color theme="1"/>
        <rFont val="Arial"/>
        <family val="2"/>
      </rPr>
      <t xml:space="preserve"> Co-Product Sold/ Exported</t>
    </r>
  </si>
  <si>
    <t>Ammonia Cracking</t>
  </si>
  <si>
    <t>kg CO2-e/kg H2</t>
  </si>
  <si>
    <t>Sold N2 Allocations</t>
  </si>
  <si>
    <t>Hydrogen Pressure Level at Gate</t>
  </si>
  <si>
    <t>Quantity of Toluene Produced</t>
  </si>
  <si>
    <t>Quantity of Toluene Sold</t>
  </si>
  <si>
    <t>Quantity of DBT Produced</t>
  </si>
  <si>
    <t>Quantity of DBT Sold</t>
  </si>
  <si>
    <t>Quantity of Fugitive CO2 Emissions Created During Injection</t>
  </si>
  <si>
    <t>t H2/ year</t>
  </si>
  <si>
    <t>Furnace Fuel</t>
  </si>
  <si>
    <t>Ammonia feedstock</t>
  </si>
  <si>
    <t>Co-product N2 Allocations</t>
  </si>
  <si>
    <t xml:space="preserve">Offset Generated and Sold </t>
  </si>
  <si>
    <t>Downstream Pathway 2: LOHC - Dehydrogenation</t>
  </si>
  <si>
    <t>Facility Hydrogen Capacity per Annum</t>
  </si>
  <si>
    <t>Use LOHC Information from Conditioning Tab</t>
  </si>
  <si>
    <t>LOHC production Pathway</t>
  </si>
  <si>
    <t>Quantity of LOHC Consumed (kg)</t>
  </si>
  <si>
    <t>Consumed LOHC EI ( kg CO2-e/ kg NH3)</t>
  </si>
  <si>
    <t>LOHC Feedstock Emissions (kg CO2-e)</t>
  </si>
  <si>
    <t>LOHC Dehydrogenation Pathway</t>
  </si>
  <si>
    <t>Quantity of LOHC Consumed</t>
  </si>
  <si>
    <t>Emissions Intensity of LOHC Consumed</t>
  </si>
  <si>
    <t>kg CO2-e/ kg LCOH</t>
  </si>
  <si>
    <t>Emissions in CO2-e Captured and stored</t>
  </si>
  <si>
    <t>FEEDSTOCK CO-PRODUCTS SOLD/ EXPORTED</t>
  </si>
  <si>
    <t>(kg CO2-e/kg)</t>
  </si>
  <si>
    <t>Toluene</t>
  </si>
  <si>
    <t>DBT</t>
  </si>
  <si>
    <t>LOHC - Dehydrogenation</t>
  </si>
  <si>
    <t>Sold Toluene/DBT Allocations</t>
  </si>
  <si>
    <t>LOHC Feedstock</t>
  </si>
  <si>
    <t>Co-Product Toluene/DBT Allocations</t>
  </si>
  <si>
    <t>Fleet or National Direct Emissions Factor</t>
  </si>
  <si>
    <t>Fleet or National Upstream Emissions Factor</t>
  </si>
  <si>
    <t>Upstream Emissions Factor (kg CO2-e/ km)</t>
  </si>
  <si>
    <t>AmmoniaCrackingReportingItemsTable</t>
  </si>
  <si>
    <t>LOHCDehydrogenationReportingItemsTable</t>
  </si>
  <si>
    <t>PRODUCT SPECIFICATIONS</t>
  </si>
  <si>
    <t>Quantity (t or m3)</t>
  </si>
  <si>
    <t>EF (kg CO2-e/t or m3)</t>
  </si>
  <si>
    <t>WASTE AND/ OR OTHER CO-PRODUCTS</t>
  </si>
  <si>
    <t>FURNACE FEEDSTOCK</t>
  </si>
  <si>
    <t>Emissions intensity - Production (Cradle-to-production gate)</t>
  </si>
  <si>
    <t>Guarantee of Origin Certificate</t>
  </si>
  <si>
    <t>Relevant Reporting Items Reference</t>
  </si>
  <si>
    <t>Production details</t>
  </si>
  <si>
    <t>Emissions intensity - Post-production (Production gate-to-delivery gate)</t>
  </si>
  <si>
    <t>ammoniaEmissionsBreakdown</t>
  </si>
  <si>
    <t>HydrogenLiquefactionEmissionsBreakdown</t>
  </si>
  <si>
    <t>Batch production dates</t>
  </si>
  <si>
    <t>Production Process</t>
  </si>
  <si>
    <t>LOHCHydrogenationEmissionsBreakdown</t>
  </si>
  <si>
    <t>AmmoniaCrackingEmissionsBreakdown</t>
  </si>
  <si>
    <t>Conditioning process</t>
  </si>
  <si>
    <t>LOHCDehydrogenationEmissionsBreakdown</t>
  </si>
  <si>
    <t>Production facility name</t>
  </si>
  <si>
    <t>Emissions intensity - Overall (Cradle-to-delivery gate)</t>
  </si>
  <si>
    <t>Downstream process</t>
  </si>
  <si>
    <t>Production facility location</t>
  </si>
  <si>
    <t>Renewable electricity</t>
  </si>
  <si>
    <t>Process Considered In Certificate</t>
  </si>
  <si>
    <t>ReportingItemsTable</t>
  </si>
  <si>
    <t>Post-production details</t>
  </si>
  <si>
    <t>Emissions Reference Table Name</t>
  </si>
  <si>
    <t>Product losses</t>
  </si>
  <si>
    <t>Distance:</t>
  </si>
  <si>
    <t>Duration:</t>
  </si>
  <si>
    <t>Resources</t>
  </si>
  <si>
    <t>Tap Water Embodied Emissions</t>
  </si>
  <si>
    <t>State</t>
  </si>
  <si>
    <t>EF</t>
  </si>
  <si>
    <t>Unit</t>
  </si>
  <si>
    <t>Northern Territory</t>
  </si>
  <si>
    <t>kg CO2-e /kg water</t>
  </si>
  <si>
    <t>AusLCI database</t>
  </si>
  <si>
    <t>New South Wales</t>
  </si>
  <si>
    <t>Australian Capital Territory</t>
  </si>
  <si>
    <t>South Australia</t>
  </si>
  <si>
    <t>Victoria</t>
  </si>
  <si>
    <t>Tasmania</t>
  </si>
  <si>
    <t>Western Australia</t>
  </si>
  <si>
    <t>Purchased Water Quality Embodied Emissions</t>
  </si>
  <si>
    <t>Water type</t>
  </si>
  <si>
    <t>Ultrapure</t>
  </si>
  <si>
    <t>Deionised</t>
  </si>
  <si>
    <t>Decarbonised</t>
  </si>
  <si>
    <t>Completely softened</t>
  </si>
  <si>
    <t>Desalinated</t>
  </si>
  <si>
    <t xml:space="preserve">Average from two sources:
- Marchi, A., Dandy, G., &amp; Maier, H. (2014) Financial costs, energy consumption and greenhouse gas emissions for major supply water sources and demand management options for metropolitan Adelaide. Technical Report Series No. 14/12
- Biswas, W.K., Yek, P. (2016) Improving the carbon footprint of water treatment with renewable energy: a Western Australian case study. Renewables 3.
</t>
  </si>
  <si>
    <t>Tap Water</t>
  </si>
  <si>
    <t>Refer to Tap Water embodied emissions factor table</t>
  </si>
  <si>
    <t>Raw Wastewater</t>
  </si>
  <si>
    <t>Treated Wastewater</t>
  </si>
  <si>
    <t>Pumped Water Supply</t>
  </si>
  <si>
    <t>Pumped Water</t>
  </si>
  <si>
    <t>Initial Pumping from Source (kWh/m3)</t>
  </si>
  <si>
    <t>Pumping to Site (kWh/m3/km)</t>
  </si>
  <si>
    <t>All</t>
  </si>
  <si>
    <t>Modelled using publicly available information in Aspen HYSYS</t>
  </si>
  <si>
    <t>Fuel Type Options</t>
  </si>
  <si>
    <t>Type</t>
  </si>
  <si>
    <t>Solid Fuel</t>
  </si>
  <si>
    <t>Liquid Fuel</t>
  </si>
  <si>
    <t>Gaseous Fuel</t>
  </si>
  <si>
    <t>Solid Fuel Combustion Factors</t>
  </si>
  <si>
    <t>Solid Fuel Options</t>
  </si>
  <si>
    <t>Energy Content Factor (GJ/T)</t>
  </si>
  <si>
    <t>Emission Factor (kg CO2-e / GJ)</t>
  </si>
  <si>
    <t>CH4</t>
  </si>
  <si>
    <t>N2O</t>
  </si>
  <si>
    <t>SUM EF (kg CO2-e / GJ)</t>
  </si>
  <si>
    <t>Bituminous coal</t>
  </si>
  <si>
    <t>NGER (Measurement) Determination 2008, Version F2022C00737</t>
  </si>
  <si>
    <t>Sub-bituminous coal</t>
  </si>
  <si>
    <t>Anthracite</t>
  </si>
  <si>
    <t>Brown coal</t>
  </si>
  <si>
    <t>Coking coal</t>
  </si>
  <si>
    <t>Coal briquettes</t>
  </si>
  <si>
    <t>Coal coke</t>
  </si>
  <si>
    <t>Coal tar</t>
  </si>
  <si>
    <t>Solid fossil fuels other than those mentioned</t>
  </si>
  <si>
    <t>Industrial materials and tyres that are derived from fossil fuels, if recycled and combusted to produce heat or electricity</t>
  </si>
  <si>
    <t>Non-biomass municipal materials, if recycled and combusted to produce heat or electricity</t>
  </si>
  <si>
    <t>Dry wood</t>
  </si>
  <si>
    <t>Green and air dried wood</t>
  </si>
  <si>
    <t>Sulphite lyes</t>
  </si>
  <si>
    <t>Bagasse</t>
  </si>
  <si>
    <t>Biomass municipal and industrial materials, if recycled and combusted to produce heat or electricity</t>
  </si>
  <si>
    <t>Charcoal</t>
  </si>
  <si>
    <t xml:space="preserve">Primary solid biomass fuels other than those mentioned </t>
  </si>
  <si>
    <t>Solid Fuel Embodied Emissions</t>
  </si>
  <si>
    <t>EF kg (CO2-e/GJ)</t>
  </si>
  <si>
    <t>National Greenhouse Account Factors, February 2023</t>
  </si>
  <si>
    <t>Gaseous Fuel Combustion Factors</t>
  </si>
  <si>
    <t>Emission factor (kg CO2-e / GJ)</t>
  </si>
  <si>
    <t>Gaseous Fuel Options</t>
  </si>
  <si>
    <t>Energy content factor (GJ/m3 unless otherwise stated)</t>
  </si>
  <si>
    <t>Non-Ethane Natural Gas (Including coal seam gas)</t>
  </si>
  <si>
    <t>Natural gas distributed in a pipeline</t>
  </si>
  <si>
    <t>Coal seam methane that is captured for combustion</t>
  </si>
  <si>
    <t>Coal mine waste gas that is captured for combustion</t>
  </si>
  <si>
    <t>Compressed natural gas that has reverted to standard conditions</t>
  </si>
  <si>
    <t>Unprocessed natural gas</t>
  </si>
  <si>
    <t>Ethane</t>
  </si>
  <si>
    <t>Coke oven gas</t>
  </si>
  <si>
    <t>Blast furnace gas</t>
  </si>
  <si>
    <t>Town gas</t>
  </si>
  <si>
    <t>Liquefied natural gas</t>
  </si>
  <si>
    <t>Gaseous fossil fuels other than those mentioned</t>
  </si>
  <si>
    <t>Landfill biogas that is captured for combustion (methane only)</t>
  </si>
  <si>
    <t>Sludge biogas that is captured for combustion (methane only)</t>
  </si>
  <si>
    <t>A biogas that is captured for combustion, other than those mentioned</t>
  </si>
  <si>
    <t>Biomethane</t>
  </si>
  <si>
    <t>Gaseous Fuel Embodied Emissions Factors</t>
  </si>
  <si>
    <t>Natural Gas Options other than ethane</t>
  </si>
  <si>
    <t>Metro EF (kg CO2-E/GJ)</t>
  </si>
  <si>
    <t>Non-Metro EF (kg CO2-E/GJ)</t>
  </si>
  <si>
    <t>Liquid Fuel Combustion Factors</t>
  </si>
  <si>
    <t>Liquid Fuel Options</t>
  </si>
  <si>
    <t>Petroleum based oils (other than petroleum based oil used as fuel)</t>
  </si>
  <si>
    <t>GJ/m3</t>
  </si>
  <si>
    <t>Petroleum based greases</t>
  </si>
  <si>
    <t>Crude oil</t>
  </si>
  <si>
    <t>GJ/t</t>
  </si>
  <si>
    <t>Plant condensate and other natural gas liquids not covered by another item in this table</t>
  </si>
  <si>
    <t>Gasoline (other than for use as fuel in an aircraft)</t>
  </si>
  <si>
    <t>Gasoline for use as fuel in an aircraft</t>
  </si>
  <si>
    <t>Kerosene (other than for use as fuel in an aircraft)</t>
  </si>
  <si>
    <t>Kerosene for use as fuel in an aircraft</t>
  </si>
  <si>
    <t>Heating oil</t>
  </si>
  <si>
    <t>Fuel oil</t>
  </si>
  <si>
    <t>Liquefied aromatic hydrocarbons</t>
  </si>
  <si>
    <t>Solvents if mineral turpentine or white spirits</t>
  </si>
  <si>
    <t>Liquefied petroleum gas</t>
  </si>
  <si>
    <t>Naphtha</t>
  </si>
  <si>
    <t>Petroleum coke</t>
  </si>
  <si>
    <t>Refinery gas and liquids</t>
  </si>
  <si>
    <t>Refinery coke</t>
  </si>
  <si>
    <t>Other Petroleum based products</t>
  </si>
  <si>
    <t>Biodiesel</t>
  </si>
  <si>
    <t>Liquid Fuel Embodied Emissions Factors</t>
  </si>
  <si>
    <t>EF Factor (kg CO2-e/GJ)</t>
  </si>
  <si>
    <t>NE</t>
  </si>
  <si>
    <t>Electricity Constants Market Based</t>
  </si>
  <si>
    <t>ID</t>
  </si>
  <si>
    <t>Column1</t>
  </si>
  <si>
    <t>Nat_EF (scope 2 + scope 3)</t>
  </si>
  <si>
    <t>RPP</t>
  </si>
  <si>
    <t>RMF</t>
  </si>
  <si>
    <t>Verified Renewable</t>
  </si>
  <si>
    <t>ACT Jurisdictional Renewables</t>
  </si>
  <si>
    <t>Electricity Emission Calculation Method</t>
  </si>
  <si>
    <t>Method</t>
  </si>
  <si>
    <t>Energy Purchased From Options</t>
  </si>
  <si>
    <t>Options</t>
  </si>
  <si>
    <t>Energy Grid</t>
  </si>
  <si>
    <t>Verified Renewable Inputs</t>
  </si>
  <si>
    <t>Value (kg CO2 -e /kWh)</t>
  </si>
  <si>
    <t>Equipment type (k)</t>
  </si>
  <si>
    <t>Hydrofluorocarbons Default annual leakage rate of gas (j) - L_jk</t>
  </si>
  <si>
    <t>Sulphur hexafluoride Default annual leakage rate of gas (j) - L_jk</t>
  </si>
  <si>
    <t>Commercial Air Conditioning</t>
  </si>
  <si>
    <t>Commercial Refrigeration</t>
  </si>
  <si>
    <t>Industrial Refrigeration</t>
  </si>
  <si>
    <t>Gas Insulated Switchgear and Circuit Breaker Applications</t>
  </si>
  <si>
    <t>Steam Properties and Estimated Boiler Energy Requirements</t>
  </si>
  <si>
    <t>Steam Properties</t>
  </si>
  <si>
    <t>Water enthalpy (kJ/kg)</t>
  </si>
  <si>
    <t>Steam enthalpy (kJ/kg)</t>
  </si>
  <si>
    <t>Delta (kJ/kg)</t>
  </si>
  <si>
    <t>Energy for boiler (80% eff, kJ/kg steam)</t>
  </si>
  <si>
    <t>Energy for boiler (GJ/ kg)</t>
  </si>
  <si>
    <t>8 bar, saturation temp</t>
  </si>
  <si>
    <t>12 bar, saturation temp</t>
  </si>
  <si>
    <t>20 bar, 260 C⁰</t>
  </si>
  <si>
    <t>40 bar, 320 C⁰</t>
  </si>
  <si>
    <t>120 bar, 500 C⁰</t>
  </si>
  <si>
    <t>50 bar, 345 C⁰</t>
  </si>
  <si>
    <t>Steam Boiler Fuel EF Quick References</t>
  </si>
  <si>
    <t>Note all values are collated from previous fuel EF tables</t>
  </si>
  <si>
    <t>Steam Boiler Fuel</t>
  </si>
  <si>
    <t>Scope 2 Factor (kg CO2-e/ GJ)</t>
  </si>
  <si>
    <t>Scope 3 Factor (kg CO2-e/ GJ)</t>
  </si>
  <si>
    <t>Natural Gas</t>
  </si>
  <si>
    <t>Refer to natural gas embodied emissions factor table</t>
  </si>
  <si>
    <t>Bituminous Coal</t>
  </si>
  <si>
    <t>Green/Air dried wood</t>
  </si>
  <si>
    <t>Biomass (municipal and industrial materials)</t>
  </si>
  <si>
    <t>CO2 Equivalence</t>
  </si>
  <si>
    <t>Greenhouse gas</t>
  </si>
  <si>
    <t>Global Warming Potential</t>
  </si>
  <si>
    <t>Sulphur hexafluoride</t>
  </si>
  <si>
    <t>NGER Reporting Regulations 2008, Version F2022C00706</t>
  </si>
  <si>
    <t>HFC-23</t>
  </si>
  <si>
    <t>HFC-32</t>
  </si>
  <si>
    <t>HFC-41</t>
  </si>
  <si>
    <t>HFC-43-10mee</t>
  </si>
  <si>
    <t>HFC-125</t>
  </si>
  <si>
    <t>HFC-134</t>
  </si>
  <si>
    <t>HFC-134a</t>
  </si>
  <si>
    <t>HFC-143</t>
  </si>
  <si>
    <t>HFC-143a</t>
  </si>
  <si>
    <t>HFC-152a</t>
  </si>
  <si>
    <t>HFC-227ea</t>
  </si>
  <si>
    <t>HFC-236ea</t>
  </si>
  <si>
    <t>HFC-245ca</t>
  </si>
  <si>
    <t>Air Separation Unit Default Values for Co-Product Allocations</t>
  </si>
  <si>
    <t>kWh / kg O2 produced in ASU</t>
  </si>
  <si>
    <t xml:space="preserve">Hong, J. et. Al. (2009). Analysis of oxy-fuel combustion power cycle utilizing a pressurized coal combustor. Energy 34 1332-1340. </t>
  </si>
  <si>
    <t>kg O2/kg H2 produced</t>
  </si>
  <si>
    <t>kWh/kg Ar</t>
  </si>
  <si>
    <t xml:space="preserve">Mehrpooya, M., Golestani, B. and Ali, M. (2020) Novel cryogenic argon recovery from the air separation unit integrated with LNG regasification. Sustainable Energy Technologies and Assessments, vol 40. </t>
  </si>
  <si>
    <t>kWh/kg N2</t>
  </si>
  <si>
    <t>Aneke, M. and Wang, M. (2015). Potential for Improving the Energy Efficiency of Cryogenic Air Separation Unit (ASU) using Binary Heat Recovery Cycles. Applied Thermal Engineering, 81</t>
  </si>
  <si>
    <t>kg N2/kg NH3 produced</t>
  </si>
  <si>
    <t>kg N2/kg Liquid H2 produced</t>
  </si>
  <si>
    <t>ASU energy proportion by Co-Product for Gasification Pathways</t>
  </si>
  <si>
    <t>Proportion of energy emissions allocated</t>
  </si>
  <si>
    <t>Default Gas Stream Proportions For Certain Technologies</t>
  </si>
  <si>
    <r>
      <t>N</t>
    </r>
    <r>
      <rPr>
        <b/>
        <vertAlign val="subscript"/>
        <sz val="10"/>
        <color theme="0"/>
        <rFont val="Arial"/>
        <family val="2"/>
      </rPr>
      <t>2</t>
    </r>
    <r>
      <rPr>
        <b/>
        <sz val="10"/>
        <color theme="0"/>
        <rFont val="Arial"/>
        <family val="2"/>
      </rPr>
      <t>O</t>
    </r>
  </si>
  <si>
    <t>Technology</t>
  </si>
  <si>
    <t xml:space="preserve">Volume of Exhaust Stream per production unit, m3(Flue)/kgH2 </t>
  </si>
  <si>
    <r>
      <t>F</t>
    </r>
    <r>
      <rPr>
        <b/>
        <vertAlign val="subscript"/>
        <sz val="10"/>
        <color theme="0"/>
        <rFont val="Arial"/>
        <family val="2"/>
      </rPr>
      <t>x</t>
    </r>
  </si>
  <si>
    <t>Molecular Weight (g/mol)</t>
  </si>
  <si>
    <t>Fx2</t>
  </si>
  <si>
    <t>Molecular Weight (g/mol)2</t>
  </si>
  <si>
    <t>Fx3</t>
  </si>
  <si>
    <t>Molecular Weight (g/mol)3</t>
  </si>
  <si>
    <t>ATR</t>
  </si>
  <si>
    <t>POX</t>
  </si>
  <si>
    <t>GWP of Flued Gasses Considered</t>
  </si>
  <si>
    <t>Flaring Emission Factors</t>
  </si>
  <si>
    <t>Emissions Factor (kg CO2 -e/kg flared)</t>
  </si>
  <si>
    <t>Mass of Exhaust Stream per production unit (kg flue/kg H2)</t>
  </si>
  <si>
    <t>Flare gas Volume (m^3 flue/kg H2)</t>
  </si>
  <si>
    <t>Embodied EF (kg CO2-e/ kg)</t>
  </si>
  <si>
    <t>AusLCI database (sum of toluene and benzylchloride feedstocks)</t>
  </si>
  <si>
    <t>Energy Content Hydrogen</t>
  </si>
  <si>
    <t>MJ/kg (LHV)</t>
  </si>
  <si>
    <t>Engineering ToolBox, (2003). Fuels - Higher and Lower Calorific Values. [online] Available at: https://www.engineeringtoolbox.com/fuels-higher-calorific-values-d_169.html</t>
  </si>
  <si>
    <t>Unit Conversion Table</t>
  </si>
  <si>
    <t>Mass Units</t>
  </si>
  <si>
    <t>Volume Units</t>
  </si>
  <si>
    <t>kL</t>
  </si>
  <si>
    <t>L</t>
  </si>
  <si>
    <t>Energy Units</t>
  </si>
  <si>
    <t>GJ</t>
  </si>
  <si>
    <t>kJ</t>
  </si>
  <si>
    <t>m3 /kg-mol</t>
  </si>
  <si>
    <t>API  Compendium of GHG Emissions Methodologies for the Natural Gas and Oil Industry, 2009 - section 5.3</t>
  </si>
  <si>
    <t>Water Volume/Mass Conversion</t>
  </si>
  <si>
    <t>Transport Direct Fuel Factors</t>
  </si>
  <si>
    <t>Energy content factor (GJ/kL)]</t>
  </si>
  <si>
    <t>Direct emissions factor (kg CO2-e / GJ)</t>
  </si>
  <si>
    <t>Embodied emissions factor (kg CO2-e/ GJ)</t>
  </si>
  <si>
    <t>Euro iv or higher</t>
  </si>
  <si>
    <t>Euro iii</t>
  </si>
  <si>
    <t>Euro i</t>
  </si>
  <si>
    <t>Liquified Petroleum Gas</t>
  </si>
  <si>
    <t>Gasoline</t>
  </si>
  <si>
    <t>Fuel Efficiencies for Various Truck Types</t>
  </si>
  <si>
    <t>Truck Type</t>
  </si>
  <si>
    <t>Fuel Type</t>
  </si>
  <si>
    <t>Default fuel efficiency (L/ 100km)</t>
  </si>
  <si>
    <t>Distance Based Emission Factors</t>
  </si>
  <si>
    <t>Transport Type</t>
  </si>
  <si>
    <t>Direct emissions factor (kg CO2-e/ t.km)</t>
  </si>
  <si>
    <t>Emission Category</t>
  </si>
  <si>
    <t>Accrued</t>
  </si>
  <si>
    <t>Fugitive</t>
  </si>
  <si>
    <t>Pathway Category</t>
  </si>
  <si>
    <t>States</t>
  </si>
  <si>
    <t>Units for Other Feedstock Inputs</t>
  </si>
  <si>
    <t>Primary Product Options</t>
  </si>
  <si>
    <t>Shorthand</t>
  </si>
  <si>
    <t>H2</t>
  </si>
  <si>
    <t>Liquid Hydrogen</t>
  </si>
  <si>
    <t>Ammonia</t>
  </si>
  <si>
    <t>NH3</t>
  </si>
  <si>
    <t>Methylcyclohexane (MCH)</t>
  </si>
  <si>
    <t>MCH</t>
  </si>
  <si>
    <t>perhydro-DBT (PDBT)</t>
  </si>
  <si>
    <t>PDBT</t>
  </si>
  <si>
    <t>Hydrogen Conditioning Process</t>
  </si>
  <si>
    <t>Product Delivered (kg)</t>
  </si>
  <si>
    <t>Product Emissions Intensity</t>
  </si>
  <si>
    <t>Hydrogen Delivered (kg)</t>
  </si>
  <si>
    <t>Hydrogen Emissions Intensity</t>
  </si>
  <si>
    <t>LOHC Pathways</t>
  </si>
  <si>
    <t>Downstream Pathways</t>
  </si>
  <si>
    <t>Portion of Total Grid Electricity Used</t>
  </si>
  <si>
    <t>Portion of Total Onsite Combustion Electricity Used</t>
  </si>
  <si>
    <t>Portion of Total Onsite CHP Steam Used</t>
  </si>
  <si>
    <t>Portion of Total Renewable Electricity</t>
  </si>
  <si>
    <t>Transport - Production</t>
  </si>
  <si>
    <t>Load Distance Method</t>
  </si>
  <si>
    <t>Fuel Consumption Measurement Types</t>
  </si>
  <si>
    <t>Fuel Efficiency and Distance</t>
  </si>
  <si>
    <t>Load Distance Measurement Types</t>
  </si>
  <si>
    <t>Fuel Efficiency Method</t>
  </si>
  <si>
    <t>Fleet or Default Method</t>
  </si>
  <si>
    <t>Road and Maritime Transport Types</t>
  </si>
  <si>
    <t>Articulated Truck - ISO fluid container on flat bed</t>
  </si>
  <si>
    <t>Rigid Truck - gas cylinder truck</t>
  </si>
  <si>
    <t>Light Commercial truck - gas cylinder truck</t>
  </si>
  <si>
    <t>Coastal shipping - General ISO container vessels</t>
  </si>
  <si>
    <t>Coastal shipping - Dedicated liquid hydrogen tanker</t>
  </si>
  <si>
    <t>Rail - dedicated rail car</t>
  </si>
  <si>
    <t>Rail - ISO container flat-bed car</t>
  </si>
  <si>
    <t>Other Transport Types</t>
  </si>
  <si>
    <t>Transport via Pipeline</t>
  </si>
  <si>
    <t>Heavy Vehicle Design Standard Options</t>
  </si>
  <si>
    <t>Transport Fuel Options</t>
  </si>
  <si>
    <t>Time List</t>
  </si>
  <si>
    <t>Transport Route Types</t>
  </si>
  <si>
    <t>Single Leg</t>
  </si>
  <si>
    <t>Loss Correction Methods</t>
  </si>
  <si>
    <t>Direct measurement approach</t>
  </si>
  <si>
    <t>Estimation approach</t>
  </si>
  <si>
    <t>Boolean Options</t>
  </si>
  <si>
    <t>Values</t>
  </si>
  <si>
    <t>Text Fields</t>
  </si>
  <si>
    <t>Use</t>
  </si>
  <si>
    <t>Text</t>
  </si>
  <si>
    <t>Ask for user input</t>
  </si>
  <si>
    <t>No default, please enter a bespoke value</t>
  </si>
  <si>
    <t>Warning: Grid electricity allocation of active pathways is greater than total imported grid electricity</t>
  </si>
  <si>
    <t>Non-numeric result (usually because request for user input is ignored)</t>
  </si>
  <si>
    <t>Error -  Review inputs</t>
  </si>
  <si>
    <t>Warning: Electricity via fuel combustion allocation of active pathways does not equal total electricity generated via fuel combustion</t>
  </si>
  <si>
    <t>Ensure renewable electricity is not greater than total electricity used</t>
  </si>
  <si>
    <t>Please ensure renewable electricity inputs are not greater than total electricity</t>
  </si>
  <si>
    <t>Warning: Steam from CHP allocation does not equal total steam generated via CHP</t>
  </si>
  <si>
    <t>Percents must be between 0% and 100%</t>
  </si>
  <si>
    <t>Please ensure total percent combusted is between 0% and 100%</t>
  </si>
  <si>
    <t>Warning: Renewable electricity allocation of active pathways does not equal total eligible renewable electricity</t>
  </si>
  <si>
    <t>Prevent inputs where combustion feedstock amounts exceed the total used</t>
  </si>
  <si>
    <t>Feedstock combusted must not exceed total feedstock</t>
  </si>
  <si>
    <t>Assumed number of days in annual rates</t>
  </si>
  <si>
    <t>H2-GO</t>
  </si>
  <si>
    <t>Primary Feedstock Lookup Value</t>
  </si>
  <si>
    <t>Primary Feedstock</t>
  </si>
  <si>
    <t>Production facility:</t>
  </si>
  <si>
    <t>Electricity source:</t>
  </si>
  <si>
    <t>Cradle-to-Production Gate:</t>
  </si>
  <si>
    <t>Overall:</t>
  </si>
  <si>
    <t>Off-grid renewables:</t>
  </si>
  <si>
    <t>Onsite Combustion:</t>
  </si>
  <si>
    <t>Grid Electricity:</t>
  </si>
  <si>
    <t>Primary feedstock:</t>
  </si>
  <si>
    <t>Process Description Text Builder</t>
  </si>
  <si>
    <t>Production</t>
  </si>
  <si>
    <t>Conditioning</t>
  </si>
  <si>
    <t>Downstream</t>
  </si>
  <si>
    <t>Quantity of Primary Product Produced (t)</t>
  </si>
  <si>
    <t>Enter Energy Content Factor (GJ/ m3 or t)</t>
  </si>
  <si>
    <t>Electricity Generated Onsite via Fuel Combustion</t>
  </si>
  <si>
    <t>Large Scale Renewable Energy Target</t>
  </si>
  <si>
    <t>LGC purchased and retired</t>
  </si>
  <si>
    <t>Enter Bespoke Combustion EF (kg CO2-e/ GJ)</t>
  </si>
  <si>
    <t>Enter Bespoke Upstream EF (kg CO2-e/ GJ)</t>
  </si>
  <si>
    <t xml:space="preserve">Combustion </t>
  </si>
  <si>
    <t>Combustion - Steam</t>
  </si>
  <si>
    <t>Combustion - Electricity</t>
  </si>
  <si>
    <t>Total Electricity Consumed in Product Facility</t>
  </si>
  <si>
    <t>PRODUCT FACILITY DETAILS</t>
  </si>
  <si>
    <t>ELECTRICITY CONSUMPTION</t>
  </si>
  <si>
    <t>ONSITE STEAM CONSUMPTION</t>
  </si>
  <si>
    <t>PUMPED RAW WATER CONSUMPTION</t>
  </si>
  <si>
    <t>IMPORTED WATER CONSUMPTION</t>
  </si>
  <si>
    <t>IMPORTED STEAM CONSUMPTION</t>
  </si>
  <si>
    <t>OTHER INPUTS CONSUMPTION</t>
  </si>
  <si>
    <t>INDUSTRIAL PROCESS EMISSIONS</t>
  </si>
  <si>
    <t>ELECTRICITY CO-PRODUCT ALLOCATION</t>
  </si>
  <si>
    <t>STEAM CO-PRODUCT ALLOCATION</t>
  </si>
  <si>
    <t>OXYGEN CO-PRODUCT ALLOCATION</t>
  </si>
  <si>
    <t>Electricity Generated via Fuel Combustion Allocation. Including CHP</t>
  </si>
  <si>
    <t>Enter Bespoke Upstream EF 
(kg CO2-e/ unit Steam)</t>
  </si>
  <si>
    <t>Enter Bespoke Upstream EF (kgCO2-e/ unit water)</t>
  </si>
  <si>
    <t>Enter Bespoke Energy Content Factor (GJ/ unit)</t>
  </si>
  <si>
    <t>(GJ/t,m3(kL))</t>
  </si>
  <si>
    <t>CHP Generated Steam Allocation</t>
  </si>
  <si>
    <t>(kg CO2-e/m3)</t>
  </si>
  <si>
    <r>
      <t>(kg CO</t>
    </r>
    <r>
      <rPr>
        <b/>
        <vertAlign val="subscript"/>
        <sz val="10"/>
        <color theme="0"/>
        <rFont val="Arial"/>
        <family val="2"/>
      </rPr>
      <t>2</t>
    </r>
    <r>
      <rPr>
        <b/>
        <sz val="10"/>
        <color theme="0"/>
        <rFont val="Arial"/>
        <family val="2"/>
      </rPr>
      <t xml:space="preserve"> -e / GJ)</t>
    </r>
  </si>
  <si>
    <r>
      <t>(F</t>
    </r>
    <r>
      <rPr>
        <b/>
        <vertAlign val="subscript"/>
        <sz val="10"/>
        <color theme="0"/>
        <rFont val="Arial"/>
        <family val="2"/>
      </rPr>
      <t>x</t>
    </r>
    <r>
      <rPr>
        <b/>
        <sz val="10"/>
        <color theme="0"/>
        <rFont val="Arial"/>
        <family val="2"/>
      </rPr>
      <t>)</t>
    </r>
  </si>
  <si>
    <t>For Raw Water Directly Pumped from Source to Site, Set Bespoke Embodied EF to 0 if part of electricity allocation.</t>
  </si>
  <si>
    <t>Quantity and units must be specified. Either 1) Enter Bespoke EF or 2) Select Boiler Fuel and Steam conditions to use default values</t>
  </si>
  <si>
    <t>Leave Blank to use Default Emissions Factors, If Cell is highlighted Red No Default Exists for Given Fuel</t>
  </si>
  <si>
    <t>Enter Bespoke Energy Content Factor (GJ/m3)</t>
  </si>
  <si>
    <t>Enter Bespoke Energy Content Factor (GJ/t)</t>
  </si>
  <si>
    <t>Quantity and units must be specified. Either 1) Enter Bespoke Upstream EF or 2) Select Boiler Fuel and Steam conditions to use default values</t>
  </si>
  <si>
    <t>For Raw Water Directly Pumped from Source to Site, Set Bespoke Upstream EF to 0 if part of electricity allocation.</t>
  </si>
  <si>
    <t>Enter Bespoke Upstream EF 
(kg CO2-e/ GJ)</t>
  </si>
  <si>
    <t>Enter Bespoke Energy Content Factor (GJ/ m3 or kg)</t>
  </si>
  <si>
    <t>COMBUSTION FUEL CONSUMPTION</t>
  </si>
  <si>
    <t>Please include fuel consumption not already specified in other sections</t>
  </si>
  <si>
    <t>GreenPower Percentage</t>
  </si>
  <si>
    <r>
      <t>LGC retired by 3</t>
    </r>
    <r>
      <rPr>
        <vertAlign val="superscript"/>
        <sz val="10"/>
        <color theme="1"/>
        <rFont val="Arial"/>
        <family val="2"/>
      </rPr>
      <t>rd</t>
    </r>
    <r>
      <rPr>
        <sz val="10"/>
        <color theme="1"/>
        <rFont val="Arial"/>
        <family val="2"/>
      </rPr>
      <t xml:space="preserve"> parties on your behalf (e.g., ACT grid or GreenPower retail)</t>
    </r>
  </si>
  <si>
    <t>From the above tables for fuels</t>
  </si>
  <si>
    <t>Australian Infrastructure and Transport Statistics - Yearbook 2022 | Bureau of Infrastructure and Transport Research Economics (bitre.gov.au)</t>
  </si>
  <si>
    <t>Road vehicle-kilometres travelled: estimation from state and territory fuel sales | Bureau of Infrastructure and Transport Research Economics (bitre.gov.au) – BITRE 2011
Survey of Motor Vehicle Use, Australia, 12 Months ended 30 June 2020 | Australian Bureau of Statistics (abs.gov.au)</t>
  </si>
  <si>
    <t>AusLCI EF database</t>
  </si>
  <si>
    <t>Cost and Performance Baseline for Fossil Energy Plants – Volume 2: Coal to Synthetic Natural Gas and Ammonia (July 5, 2011)</t>
  </si>
  <si>
    <t>Enthalpy from common Steam Tables.
Water enthalpy assumes water at 80C, and process is isobaric.</t>
  </si>
  <si>
    <t>FEEDSTOCK CONSUMPTION</t>
  </si>
  <si>
    <t>GAS CO-PRODUCT ALLOCATION</t>
  </si>
  <si>
    <t xml:space="preserve">OTHER (WITH NO ENERGY CONTENT) CO-PRODUCT ALLOCATION </t>
  </si>
  <si>
    <t>TRANSPORT DETAILS - VEHICULAR TRANSPORT</t>
  </si>
  <si>
    <t>VEHICULAR TRANSPORT - OTHER PRODUCT ALLOCATION</t>
  </si>
  <si>
    <t>PIPELINE - OTHER PRODUCT ALLOCATION</t>
  </si>
  <si>
    <t>STORAGE - ELECTRICITY CONSUMPTION</t>
  </si>
  <si>
    <t>STORAGE - COMBUSTION FUEL CONSUMPTION</t>
  </si>
  <si>
    <t>Electricity Scope 2 Location-Based Emission Factors</t>
  </si>
  <si>
    <t>Electricity Scope 3 Location-Based Emission Factors</t>
  </si>
  <si>
    <t>VEHICULAR TRANSPORT - LOSSES</t>
  </si>
  <si>
    <t>PIPELINE - LOSSES</t>
  </si>
  <si>
    <t>STORAGE - LOSSES</t>
  </si>
  <si>
    <t>HYDROGEN PIPELINES</t>
  </si>
  <si>
    <t>Total Route Distance (km)</t>
  </si>
  <si>
    <t>Route Distance should include full route distance if using allocation methods</t>
  </si>
  <si>
    <t>Total Load Mass and Total Route distance should include all products if using allocation methods</t>
  </si>
  <si>
    <t>Emissions Factor (t CO2-e/ km)</t>
  </si>
  <si>
    <t>Annual Emissions Factor (t CO2-e/ km)</t>
  </si>
  <si>
    <t>Operational emissions</t>
  </si>
  <si>
    <t>Loss correction may be included in loss correction, double counting may occur in this case</t>
  </si>
  <si>
    <t>Monitored Flaring EF 
(kg CO2-e/kg flared)</t>
  </si>
  <si>
    <t>Distance travelled product on route</t>
  </si>
  <si>
    <t>Distance main products travelled in this route (km)</t>
  </si>
  <si>
    <t>This document may not meet accessibility requirements, if you require assistance with reading this document, please contact us at</t>
  </si>
  <si>
    <t>GuaranteeofOrigin@dcceew.gov.au.</t>
  </si>
  <si>
    <t>Users can view the estimated emissions (and other relevant data) associated with the production process in the summary tab.</t>
  </si>
  <si>
    <r>
      <rPr>
        <b/>
        <sz val="12"/>
        <color theme="0"/>
        <rFont val="Arial"/>
        <family val="2"/>
      </rPr>
      <t>• Emissions accounting approach attachment</t>
    </r>
    <r>
      <rPr>
        <sz val="12"/>
        <color theme="0"/>
        <rFont val="Arial"/>
        <family val="2"/>
      </rPr>
      <t xml:space="preserve"> has been developed to provide a detailed explanation of the proposed methodology for the GO scheme. The proposed approach has been developed in accordance with the International Partnership for Hydrogen and Fuel Cells in the Economy (IPHE) Methodology for Determining the Greenhouse Gas Emissions Associated with the Production of Hydrogen working paper (November 2022). The paper also provides guidance to stakeholders on how to use the calculator. Feedback is sought on this attachment. </t>
    </r>
  </si>
  <si>
    <r>
      <rPr>
        <b/>
        <sz val="12"/>
        <color theme="0"/>
        <rFont val="Arial"/>
        <family val="2"/>
      </rPr>
      <t xml:space="preserve">• The scheme design paper </t>
    </r>
    <r>
      <rPr>
        <sz val="12"/>
        <color theme="0"/>
        <rFont val="Arial"/>
        <family val="2"/>
      </rPr>
      <t>outlines the overall design for the Guarantee of Origin scheme, including the process for registering to participate in the scheme and creating Product GO certificates</t>
    </r>
  </si>
  <si>
    <t>Creation claim type input</t>
  </si>
  <si>
    <t>The approach to estimating emissions throughout the Calculator, including default values, methods and calculations are not final. The final rules for the GO scheme will be established in legislation and the calculator has been developed for the purposes of consultation. Neither the Department, the Clean Energy Regulator (CER), or any third parties that assisted in preparation of the Calculator makes any representation or warranty regarding the accuracy, precision and completeness of the assumed default values, or calculations of this Calculator. The CER, DCCEEW, and any third parties that assisted in preparation of the Calculator do not warrant that any results, estimates, or outputs generated by the Calculator will be accurate, precise, complete, or up to date.
The information to be input in the Calculator is not exhaustive of all matters which may be required to be reported under a future Guarantee of Origin Scheme, nor does the Calculator cover all circumstances applicable to all entities. Similarly, the emissions-intensity values arrived at through the calculator may differ from those calculated through the GO scheme once it commences. The Calculator is not intended to comprehensively deal with its subject area; nor is it a substitute for independent legal advice.
Users use this Calculator at their own risk. The CER, DCCEEW, and any third parties that assisted in preparation of the Calculator bear no responsibility and disclaim all liability for the data input to the Calculator by users, or for the outputs of the Calculator, and will in no event be liable for any direct, incidental, or consequential loss or damage of any kind, arising out of or in connection with, any use of the Calculator or reliance on the Calculator’s output. In particular, users agree that the CER, DCCEEW, and any third parties that assisted in preparation of the Calculator will not be liable for any loss or damage suffered by users or any third party as a result of their acting on information they obtained through the Calculator. There is no link between any data entered into this Calculator and any GO certificates that may be issued once the Scheme is operational.    
The Calculator is not permitted to be modified or re-published without explicit permission by the CER and DCCEEW.</t>
  </si>
  <si>
    <t xml:space="preserve">The CER and DCCEEW do not guarantee uninterrupted access to the Calculator or that the associated website and files obtained from or through this website are free of viruses or other contamination that may interfere with or damage your computer system, software or data. We recommend the use of appropriate software to consider and use the Calculator and to protect your systems.
By Continuing, you accept the above terms and conditions.
 </t>
  </si>
  <si>
    <t xml:space="preserve">The GO Scheme Emissions Calculator (the Calculator) has been developed to assist with DCCEEW’s consultation on the emissions accounting approach for the Guarantee of Origin Scheme (GO Scheme). The Calculator provides a practical demonstration of the GO Scheme’s proposed emissions accounting approach, as detailed in the Emissions Accounting Approach paper published as part of this consultation package.
The Calculator is a revised version of the Hydrogen Production Emissions Calculator v0.1 which had been developed for participants in the Clean Energy Regulator’s (CER’s) GO Trials to assist in estimation of greenhouse gas emissions from a hydrogen production process. </t>
  </si>
  <si>
    <t>The Australian Government as represented by the Department of Climate Change, Energy, the Environment and Water (DCCEEW) has exercised due care and skill in the preparation and compilation of the information and data in this publication. Notwithstanding, the Commonwealth of Australia, its officers, employees, or agents disclaim any liability, including liability for negligence, loss howsoever caused, damage, injury, expense or cost incurred by any person as a result of accessing, using or relying upon any of the information or data in this publication to the maximum extent permitted by law. No representation expressed or implied is made as to the currency, accuracy, reliability or completeness of the information contained in this publication. The reader should rely on their own inquiries to independently confirm the information and comment on which they intend to act. This publication does not indicate commitment by the Australian Government to a particular course of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</si>
</sst>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 #,##0.00000000000_-;\-* #,##0.00000000000_-;_-* &quot;-&quot;??_-;_-@_-"/>
    <numFmt numFmtId="165" formatCode="_-* #,##0.0000_-;\-* #,##0.0000_-;_-* &quot;-&quot;??_-;_-@_-"/>
    <numFmt numFmtId="166" formatCode="_-* #,##0.00000000_-;\-* #,##0.00000000_-;_-* &quot;-&quot;??_-;_-@_-"/>
    <numFmt numFmtId="167" formatCode="_-* #,##0.0000000_-;\-* #,##0.0000000_-;_-* &quot;-&quot;??_-;_-@_-"/>
    <numFmt numFmtId="168" formatCode="_-* #,##0.00000_-;\-* #,##0.00000_-;_-* &quot;-&quot;??_-;_-@_-"/>
    <numFmt numFmtId="169" formatCode="#,##0;\-#,##0;\-"/>
    <numFmt numFmtId="170" formatCode="#,##0.00;\-#,##0.00;\-"/>
    <numFmt numFmtId="171" formatCode="#,##0.000;\-#,##0.000;\-"/>
    <numFmt numFmtId="172" formatCode="_-* #,##0_-;\-* #,##0_-;_-* &quot;-&quot;??_-;_-@_-"/>
    <numFmt numFmtId="173" formatCode="0.000"/>
    <numFmt numFmtId="174" formatCode="_-* #,##0.000_-;\-* #,##0.000_-;_-* &quot;-&quot;??_-;_-@_-"/>
    <numFmt numFmtId="175" formatCode="0.0000%"/>
    <numFmt numFmtId="176" formatCode="0.00000%"/>
    <numFmt numFmtId="177" formatCode="_-* #,##0.0%_-;\-* #,##0.0%_-;_-* &quot;-&quot;??_-;_-@_-"/>
  </numFmts>
  <fonts count="59" x14ac:knownFonts="1">
    <font>
      <sz val="10"/>
      <color theme="1"/>
      <name val="Arial"/>
      <family val="2"/>
    </font>
    <font>
      <b/>
      <sz val="12"/>
      <color theme="0"/>
      <name val="Arial"/>
      <family val="2"/>
    </font>
    <font>
      <sz val="12"/>
      <color theme="1"/>
      <name val="Arial"/>
      <family val="2"/>
    </font>
    <font>
      <sz val="8"/>
      <name val="Arial"/>
      <family val="2"/>
    </font>
    <font>
      <b/>
      <sz val="18"/>
      <color theme="1"/>
      <name val="Arial"/>
      <family val="2"/>
    </font>
    <font>
      <b/>
      <sz val="12"/>
      <color theme="1"/>
      <name val="Arial"/>
      <family val="2"/>
    </font>
    <font>
      <b/>
      <sz val="10"/>
      <color theme="1"/>
      <name val="Arial"/>
      <family val="2"/>
    </font>
    <font>
      <b/>
      <sz val="11"/>
      <color theme="0"/>
      <name val="Calibri"/>
      <family val="2"/>
      <scheme val="minor"/>
    </font>
    <font>
      <sz val="12"/>
      <color theme="0"/>
      <name val="Arial"/>
      <family val="2"/>
    </font>
    <font>
      <b/>
      <sz val="10"/>
      <color theme="0"/>
      <name val="Arial"/>
      <family val="2"/>
    </font>
    <font>
      <sz val="10"/>
      <name val="Arial"/>
      <family val="2"/>
    </font>
    <font>
      <sz val="12"/>
      <name val="Arial"/>
      <family val="2"/>
    </font>
    <font>
      <b/>
      <sz val="12"/>
      <name val="Arial"/>
      <family val="2"/>
    </font>
    <font>
      <i/>
      <sz val="10"/>
      <color theme="1"/>
      <name val="Arial"/>
      <family val="2"/>
    </font>
    <font>
      <b/>
      <vertAlign val="subscript"/>
      <sz val="12"/>
      <color theme="0"/>
      <name val="Arial"/>
      <family val="2"/>
    </font>
    <font>
      <b/>
      <vertAlign val="subscript"/>
      <sz val="10"/>
      <color theme="0"/>
      <name val="Arial"/>
      <family val="2"/>
    </font>
    <font>
      <b/>
      <sz val="12"/>
      <color theme="0" tint="-0.499984740745262"/>
      <name val="Arial"/>
      <family val="2"/>
    </font>
    <font>
      <sz val="12"/>
      <color theme="0" tint="-0.499984740745262"/>
      <name val="Arial"/>
      <family val="2"/>
    </font>
    <font>
      <sz val="10"/>
      <color theme="1"/>
      <name val="Arial"/>
      <family val="2"/>
    </font>
    <font>
      <b/>
      <sz val="16"/>
      <color theme="0"/>
      <name val="Arial"/>
      <family val="2"/>
    </font>
    <font>
      <b/>
      <sz val="10"/>
      <name val="Arial"/>
      <family val="2"/>
    </font>
    <font>
      <b/>
      <vertAlign val="subscript"/>
      <sz val="12"/>
      <name val="Arial"/>
      <family val="2"/>
    </font>
    <font>
      <b/>
      <sz val="20"/>
      <color theme="0"/>
      <name val="Arial"/>
      <family val="2"/>
    </font>
    <font>
      <b/>
      <sz val="16"/>
      <name val="Arial"/>
      <family val="2"/>
    </font>
    <font>
      <sz val="12"/>
      <color rgb="FFE6E7E8"/>
      <name val="Arial"/>
      <family val="2"/>
    </font>
    <font>
      <b/>
      <sz val="12"/>
      <color theme="7" tint="0.79998168889431442"/>
      <name val="Arial"/>
      <family val="2"/>
    </font>
    <font>
      <b/>
      <sz val="12"/>
      <color rgb="FF00A7D3"/>
      <name val="Arial"/>
      <family val="2"/>
    </font>
    <font>
      <b/>
      <vertAlign val="subscript"/>
      <sz val="12"/>
      <color theme="1"/>
      <name val="Arial"/>
      <family val="2"/>
    </font>
    <font>
      <vertAlign val="subscript"/>
      <sz val="10"/>
      <color theme="1"/>
      <name val="Arial"/>
      <family val="2"/>
    </font>
    <font>
      <i/>
      <sz val="10"/>
      <name val="Arial"/>
      <family val="2"/>
    </font>
    <font>
      <i/>
      <sz val="10"/>
      <color rgb="FF000000"/>
      <name val="Arial"/>
      <family val="2"/>
    </font>
    <font>
      <i/>
      <sz val="10"/>
      <color rgb="FF7F7F7F"/>
      <name val="Arial"/>
      <family val="2"/>
    </font>
    <font>
      <sz val="10"/>
      <color rgb="FFE6E7E8"/>
      <name val="Arial"/>
      <family val="2"/>
    </font>
    <font>
      <b/>
      <sz val="11"/>
      <color theme="1"/>
      <name val="Calibri"/>
      <family val="2"/>
      <scheme val="minor"/>
    </font>
    <font>
      <sz val="18"/>
      <color theme="3"/>
      <name val="Calibri Light"/>
      <family val="2"/>
      <scheme val="major"/>
    </font>
    <font>
      <b/>
      <sz val="26"/>
      <color theme="3"/>
      <name val="Calibri Light"/>
      <family val="2"/>
      <scheme val="major"/>
    </font>
    <font>
      <b/>
      <sz val="11"/>
      <color theme="3"/>
      <name val="Arial"/>
      <family val="2"/>
    </font>
    <font>
      <b/>
      <sz val="10"/>
      <color theme="1" tint="0.499984740745262"/>
      <name val="Arial"/>
      <family val="2"/>
    </font>
    <font>
      <b/>
      <sz val="12"/>
      <color theme="1" tint="0.499984740745262"/>
      <name val="Arial"/>
      <family val="2"/>
    </font>
    <font>
      <b/>
      <sz val="14"/>
      <color theme="1" tint="0.499984740745262"/>
      <name val="Arial"/>
      <family val="2"/>
    </font>
    <font>
      <b/>
      <sz val="28"/>
      <color theme="3"/>
      <name val="Calibri Light"/>
      <family val="2"/>
      <scheme val="major"/>
    </font>
    <font>
      <sz val="14"/>
      <color theme="1"/>
      <name val="Arial"/>
      <family val="2"/>
    </font>
    <font>
      <sz val="16"/>
      <color theme="1"/>
      <name val="Arial"/>
      <family val="2"/>
    </font>
    <font>
      <b/>
      <sz val="14"/>
      <color theme="1"/>
      <name val="Arial"/>
      <family val="2"/>
    </font>
    <font>
      <b/>
      <sz val="16"/>
      <color theme="1"/>
      <name val="Arial"/>
      <family val="2"/>
    </font>
    <font>
      <b/>
      <sz val="14"/>
      <color theme="0"/>
      <name val="Arial"/>
      <family val="2"/>
    </font>
    <font>
      <b/>
      <sz val="14"/>
      <color rgb="FFFF0000"/>
      <name val="Arial"/>
      <family val="2"/>
    </font>
    <font>
      <sz val="9"/>
      <color theme="1"/>
      <name val="Arial"/>
      <family val="2"/>
    </font>
    <font>
      <b/>
      <sz val="12"/>
      <color rgb="FFFF0000"/>
      <name val="Arial"/>
      <family val="2"/>
    </font>
    <font>
      <sz val="9"/>
      <color indexed="81"/>
      <name val="Tahoma"/>
      <family val="2"/>
    </font>
    <font>
      <b/>
      <sz val="10"/>
      <color rgb="FFFF0000"/>
      <name val="Arial"/>
      <family val="2"/>
    </font>
    <font>
      <b/>
      <sz val="10"/>
      <color rgb="FFF8F8F8"/>
      <name val="Arial"/>
      <family val="2"/>
    </font>
    <font>
      <sz val="10"/>
      <color theme="0"/>
      <name val="Arial"/>
      <family val="2"/>
    </font>
    <font>
      <b/>
      <sz val="10"/>
      <color theme="0" tint="-0.499984740745262"/>
      <name val="Arial"/>
      <family val="2"/>
    </font>
    <font>
      <sz val="10"/>
      <color theme="0" tint="-0.499984740745262"/>
      <name val="Arial"/>
      <family val="2"/>
    </font>
    <font>
      <vertAlign val="superscript"/>
      <sz val="10"/>
      <color theme="1"/>
      <name val="Arial"/>
      <family val="2"/>
    </font>
    <font>
      <b/>
      <sz val="9"/>
      <color theme="0"/>
      <name val="Arial"/>
      <family val="2"/>
    </font>
    <font>
      <u/>
      <sz val="10"/>
      <color theme="10"/>
      <name val="Arial"/>
      <family val="2"/>
    </font>
    <font>
      <u/>
      <sz val="12"/>
      <color theme="10"/>
      <name val="Arial"/>
      <family val="2"/>
    </font>
  </fonts>
  <fills count="21">
    <fill>
      <patternFill patternType="none"/>
    </fill>
    <fill>
      <patternFill patternType="gray125"/>
    </fill>
    <fill>
      <patternFill patternType="solid">
        <fgColor theme="1"/>
        <bgColor theme="1"/>
      </patternFill>
    </fill>
    <fill>
      <patternFill patternType="solid">
        <fgColor theme="1"/>
        <bgColor indexed="64"/>
      </patternFill>
    </fill>
    <fill>
      <patternFill patternType="solid">
        <fgColor theme="0"/>
        <bgColor indexed="64"/>
      </patternFill>
    </fill>
    <fill>
      <patternFill patternType="solid">
        <fgColor rgb="FFE6E7E8"/>
        <bgColor indexed="64"/>
      </patternFill>
    </fill>
    <fill>
      <patternFill patternType="solid">
        <fgColor theme="2"/>
        <bgColor indexed="64"/>
      </patternFill>
    </fill>
    <fill>
      <patternFill patternType="solid">
        <fgColor rgb="FFE7E6E6"/>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968F"/>
        <bgColor indexed="64"/>
      </patternFill>
    </fill>
    <fill>
      <patternFill patternType="solid">
        <fgColor rgb="FF00A7D3"/>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7" tint="0.39997558519241921"/>
        <bgColor indexed="64"/>
      </patternFill>
    </fill>
    <fill>
      <patternFill patternType="solid">
        <fgColor rgb="FFF8F8F8"/>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A9D08E"/>
        <bgColor indexed="64"/>
      </patternFill>
    </fill>
    <fill>
      <patternFill patternType="lightUp">
        <bgColor theme="2"/>
      </patternFill>
    </fill>
  </fills>
  <borders count="294">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E6E7E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E6E7E8"/>
      </top>
      <bottom style="thin">
        <color indexed="64"/>
      </bottom>
      <diagonal/>
    </border>
    <border>
      <left/>
      <right/>
      <top/>
      <bottom style="thin">
        <color rgb="FFE7E6E6"/>
      </bottom>
      <diagonal/>
    </border>
    <border>
      <left/>
      <right/>
      <top style="thin">
        <color rgb="FFE7E6E6"/>
      </top>
      <bottom style="thin">
        <color rgb="FFE7E6E6"/>
      </bottom>
      <diagonal/>
    </border>
    <border>
      <left/>
      <right/>
      <top style="thin">
        <color rgb="FFE7E6E6"/>
      </top>
      <bottom style="thin">
        <color indexed="64"/>
      </bottom>
      <diagonal/>
    </border>
    <border>
      <left/>
      <right/>
      <top style="thin">
        <color rgb="FFE7E6E6"/>
      </top>
      <bottom/>
      <diagonal/>
    </border>
    <border>
      <left/>
      <right style="thin">
        <color rgb="FFE6E7E8"/>
      </right>
      <top/>
      <bottom style="thin">
        <color indexed="64"/>
      </bottom>
      <diagonal/>
    </border>
    <border>
      <left style="thin">
        <color rgb="FFE6E7E8"/>
      </left>
      <right style="thin">
        <color rgb="FFE6E7E8"/>
      </right>
      <top/>
      <bottom style="thin">
        <color indexed="64"/>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style="thin">
        <color theme="1"/>
      </right>
      <top style="hair">
        <color theme="1"/>
      </top>
      <bottom style="hair">
        <color theme="1"/>
      </bottom>
      <diagonal/>
    </border>
    <border>
      <left/>
      <right/>
      <top style="hair">
        <color theme="1"/>
      </top>
      <bottom style="hair">
        <color theme="1"/>
      </bottom>
      <diagonal/>
    </border>
    <border>
      <left style="hair">
        <color theme="1"/>
      </left>
      <right style="hair">
        <color theme="1"/>
      </right>
      <top style="hair">
        <color theme="1"/>
      </top>
      <bottom style="hair">
        <color theme="1"/>
      </bottom>
      <diagonal/>
    </border>
    <border>
      <left/>
      <right/>
      <top/>
      <bottom style="hair">
        <color theme="1"/>
      </bottom>
      <diagonal/>
    </border>
    <border>
      <left/>
      <right/>
      <top/>
      <bottom style="thin">
        <color theme="1"/>
      </bottom>
      <diagonal/>
    </border>
    <border>
      <left style="thin">
        <color rgb="FFE6E7E8"/>
      </left>
      <right style="thin">
        <color rgb="FFE6E7E8"/>
      </right>
      <top style="thin">
        <color rgb="FFE6E7E8"/>
      </top>
      <bottom/>
      <diagonal/>
    </border>
    <border>
      <left style="thin">
        <color theme="1"/>
      </left>
      <right style="thin">
        <color theme="1"/>
      </right>
      <top style="hair">
        <color theme="1"/>
      </top>
      <bottom style="hair">
        <color theme="1"/>
      </bottom>
      <diagonal/>
    </border>
    <border>
      <left style="thin">
        <color theme="1"/>
      </left>
      <right style="hair">
        <color theme="1"/>
      </right>
      <top style="thin">
        <color theme="1"/>
      </top>
      <bottom style="thin">
        <color theme="1"/>
      </bottom>
      <diagonal/>
    </border>
    <border>
      <left style="thin">
        <color theme="1"/>
      </left>
      <right style="hair">
        <color theme="1"/>
      </right>
      <top style="thin">
        <color theme="1"/>
      </top>
      <bottom/>
      <diagonal/>
    </border>
    <border>
      <left style="thin">
        <color theme="1"/>
      </left>
      <right style="hair">
        <color theme="1"/>
      </right>
      <top style="hair">
        <color theme="1"/>
      </top>
      <bottom style="hair">
        <color theme="1"/>
      </bottom>
      <diagonal/>
    </border>
    <border>
      <left style="thin">
        <color theme="1"/>
      </left>
      <right style="hair">
        <color theme="1"/>
      </right>
      <top/>
      <bottom style="thin">
        <color theme="1"/>
      </bottom>
      <diagonal/>
    </border>
    <border>
      <left style="hair">
        <color theme="1"/>
      </left>
      <right style="hair">
        <color theme="1"/>
      </right>
      <top style="thin">
        <color theme="1"/>
      </top>
      <bottom style="thin">
        <color theme="1"/>
      </bottom>
      <diagonal/>
    </border>
    <border>
      <left style="hair">
        <color theme="1"/>
      </left>
      <right style="hair">
        <color theme="1"/>
      </right>
      <top style="thin">
        <color theme="1"/>
      </top>
      <bottom/>
      <diagonal/>
    </border>
    <border>
      <left style="hair">
        <color theme="1"/>
      </left>
      <right style="hair">
        <color theme="1"/>
      </right>
      <top/>
      <bottom style="thin">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thin">
        <color theme="1"/>
      </bottom>
      <diagonal/>
    </border>
    <border>
      <left style="thin">
        <color theme="1"/>
      </left>
      <right style="hair">
        <color theme="1"/>
      </right>
      <top/>
      <bottom style="hair">
        <color theme="1"/>
      </bottom>
      <diagonal/>
    </border>
    <border>
      <left style="hair">
        <color theme="1"/>
      </left>
      <right style="hair">
        <color theme="1"/>
      </right>
      <top/>
      <bottom style="hair">
        <color theme="1"/>
      </bottom>
      <diagonal/>
    </border>
    <border>
      <left/>
      <right style="thin">
        <color theme="1"/>
      </right>
      <top/>
      <bottom style="hair">
        <color theme="1"/>
      </bottom>
      <diagonal/>
    </border>
    <border>
      <left style="thin">
        <color theme="1"/>
      </left>
      <right style="hair">
        <color theme="1"/>
      </right>
      <top style="thin">
        <color theme="1"/>
      </top>
      <bottom style="hair">
        <color theme="1"/>
      </bottom>
      <diagonal/>
    </border>
    <border>
      <left style="thin">
        <color theme="1"/>
      </left>
      <right style="thin">
        <color theme="1"/>
      </right>
      <top style="thin">
        <color theme="1"/>
      </top>
      <bottom style="hair">
        <color theme="1"/>
      </bottom>
      <diagonal/>
    </border>
    <border>
      <left style="thin">
        <color theme="1"/>
      </left>
      <right style="hair">
        <color theme="1"/>
      </right>
      <top style="hair">
        <color theme="1"/>
      </top>
      <bottom style="thin">
        <color theme="1"/>
      </bottom>
      <diagonal/>
    </border>
    <border>
      <left style="thin">
        <color theme="1"/>
      </left>
      <right/>
      <top style="thin">
        <color theme="1"/>
      </top>
      <bottom style="hair">
        <color theme="1"/>
      </bottom>
      <diagonal/>
    </border>
    <border>
      <left style="hair">
        <color theme="1"/>
      </left>
      <right style="hair">
        <color theme="1"/>
      </right>
      <top style="hair">
        <color theme="1"/>
      </top>
      <bottom style="thin">
        <color theme="1"/>
      </bottom>
      <diagonal/>
    </border>
    <border>
      <left style="hair">
        <color theme="1"/>
      </left>
      <right style="hair">
        <color theme="1"/>
      </right>
      <top style="hair">
        <color theme="1"/>
      </top>
      <bottom/>
      <diagonal/>
    </border>
    <border>
      <left/>
      <right/>
      <top style="thin">
        <color theme="1"/>
      </top>
      <bottom style="thin">
        <color indexed="64"/>
      </bottom>
      <diagonal/>
    </border>
    <border>
      <left style="hair">
        <color theme="1"/>
      </left>
      <right/>
      <top style="hair">
        <color theme="1"/>
      </top>
      <bottom style="thin">
        <color theme="1"/>
      </bottom>
      <diagonal/>
    </border>
    <border>
      <left style="hair">
        <color theme="1"/>
      </left>
      <right style="thin">
        <color theme="1"/>
      </right>
      <top style="hair">
        <color theme="1"/>
      </top>
      <bottom style="thin">
        <color theme="1"/>
      </bottom>
      <diagonal/>
    </border>
    <border>
      <left style="hair">
        <color theme="1"/>
      </left>
      <right style="thin">
        <color theme="1"/>
      </right>
      <top style="hair">
        <color theme="1"/>
      </top>
      <bottom/>
      <diagonal/>
    </border>
    <border>
      <left style="hair">
        <color theme="1"/>
      </left>
      <right style="thin">
        <color theme="1"/>
      </right>
      <top style="hair">
        <color theme="1"/>
      </top>
      <bottom style="hair">
        <color theme="1"/>
      </bottom>
      <diagonal/>
    </border>
    <border>
      <left style="hair">
        <color theme="1"/>
      </left>
      <right/>
      <top style="hair">
        <color theme="1"/>
      </top>
      <bottom style="hair">
        <color theme="1"/>
      </bottom>
      <diagonal/>
    </border>
    <border>
      <left style="hair">
        <color theme="1"/>
      </left>
      <right style="thin">
        <color theme="1"/>
      </right>
      <top style="thin">
        <color theme="1"/>
      </top>
      <bottom style="hair">
        <color theme="1"/>
      </bottom>
      <diagonal/>
    </border>
    <border>
      <left style="hair">
        <color theme="1"/>
      </left>
      <right/>
      <top style="thin">
        <color theme="1"/>
      </top>
      <bottom style="hair">
        <color theme="1"/>
      </bottom>
      <diagonal/>
    </border>
    <border>
      <left style="thin">
        <color indexed="64"/>
      </left>
      <right/>
      <top style="thin">
        <color rgb="FFE7E6E6"/>
      </top>
      <bottom style="thin">
        <color indexed="64"/>
      </bottom>
      <diagonal/>
    </border>
    <border>
      <left/>
      <right style="thin">
        <color indexed="64"/>
      </right>
      <top style="thin">
        <color rgb="FFE7E6E6"/>
      </top>
      <bottom style="thin">
        <color indexed="64"/>
      </bottom>
      <diagonal/>
    </border>
    <border>
      <left style="thin">
        <color indexed="64"/>
      </left>
      <right/>
      <top style="thin">
        <color rgb="FFE7E6E6"/>
      </top>
      <bottom/>
      <diagonal/>
    </border>
    <border>
      <left/>
      <right style="thin">
        <color indexed="64"/>
      </right>
      <top style="thin">
        <color rgb="FFE7E6E6"/>
      </top>
      <bottom/>
      <diagonal/>
    </border>
    <border>
      <left style="thin">
        <color theme="1"/>
      </left>
      <right style="thin">
        <color theme="1"/>
      </right>
      <top/>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thin">
        <color theme="1"/>
      </bottom>
      <diagonal/>
    </border>
    <border>
      <left style="thin">
        <color theme="1"/>
      </left>
      <right style="hair">
        <color indexed="64"/>
      </right>
      <top style="hair">
        <color indexed="64"/>
      </top>
      <bottom/>
      <diagonal/>
    </border>
    <border>
      <left style="hair">
        <color indexed="64"/>
      </left>
      <right style="hair">
        <color indexed="64"/>
      </right>
      <top style="thin">
        <color theme="1"/>
      </top>
      <bottom style="hair">
        <color indexed="64"/>
      </bottom>
      <diagonal/>
    </border>
    <border>
      <left style="hair">
        <color indexed="64"/>
      </left>
      <right/>
      <top style="hair">
        <color indexed="64"/>
      </top>
      <bottom/>
      <diagonal/>
    </border>
    <border>
      <left style="hair">
        <color indexed="64"/>
      </left>
      <right/>
      <top style="hair">
        <color indexed="64"/>
      </top>
      <bottom style="thin">
        <color theme="1"/>
      </bottom>
      <diagonal/>
    </border>
    <border>
      <left style="hair">
        <color indexed="64"/>
      </left>
      <right/>
      <top style="thin">
        <color theme="1"/>
      </top>
      <bottom style="thin">
        <color theme="1"/>
      </bottom>
      <diagonal/>
    </border>
    <border>
      <left style="hair">
        <color indexed="64"/>
      </left>
      <right/>
      <top style="thin">
        <color theme="1"/>
      </top>
      <bottom/>
      <diagonal/>
    </border>
    <border>
      <left style="hair">
        <color indexed="64"/>
      </left>
      <right style="thin">
        <color theme="1"/>
      </right>
      <top style="thin">
        <color theme="1"/>
      </top>
      <bottom/>
      <diagonal/>
    </border>
    <border>
      <left style="thin">
        <color theme="1"/>
      </left>
      <right/>
      <top style="thin">
        <color theme="1"/>
      </top>
      <bottom style="hair">
        <color indexed="64"/>
      </bottom>
      <diagonal/>
    </border>
    <border>
      <left style="hair">
        <color indexed="64"/>
      </left>
      <right style="thin">
        <color indexed="64"/>
      </right>
      <top style="hair">
        <color indexed="64"/>
      </top>
      <bottom style="thin">
        <color indexed="64"/>
      </bottom>
      <diagonal/>
    </border>
    <border>
      <left style="hair">
        <color theme="1"/>
      </left>
      <right/>
      <top/>
      <bottom style="hair">
        <color theme="1"/>
      </bottom>
      <diagonal/>
    </border>
    <border>
      <left/>
      <right style="hair">
        <color theme="1"/>
      </right>
      <top/>
      <bottom style="hair">
        <color theme="1"/>
      </bottom>
      <diagonal/>
    </border>
    <border>
      <left/>
      <right style="hair">
        <color theme="1"/>
      </right>
      <top style="hair">
        <color theme="1"/>
      </top>
      <bottom style="hair">
        <color theme="1"/>
      </bottom>
      <diagonal/>
    </border>
    <border>
      <left style="hair">
        <color theme="1"/>
      </left>
      <right style="hair">
        <color indexed="64"/>
      </right>
      <top style="hair">
        <color theme="1"/>
      </top>
      <bottom style="hair">
        <color theme="1"/>
      </bottom>
      <diagonal/>
    </border>
    <border>
      <left style="hair">
        <color indexed="64"/>
      </left>
      <right style="hair">
        <color theme="1"/>
      </right>
      <top style="hair">
        <color theme="1"/>
      </top>
      <bottom style="hair">
        <color theme="1"/>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theme="1"/>
      </right>
      <top style="thin">
        <color indexed="64"/>
      </top>
      <bottom style="hair">
        <color theme="1"/>
      </bottom>
      <diagonal/>
    </border>
    <border>
      <left/>
      <right style="thin">
        <color indexed="64"/>
      </right>
      <top style="thin">
        <color indexed="64"/>
      </top>
      <bottom style="thin">
        <color rgb="FFE6E7E8"/>
      </bottom>
      <diagonal/>
    </border>
    <border>
      <left style="thin">
        <color indexed="64"/>
      </left>
      <right/>
      <top style="thin">
        <color indexed="64"/>
      </top>
      <bottom style="thin">
        <color rgb="FFE7E6E6"/>
      </bottom>
      <diagonal/>
    </border>
    <border>
      <left/>
      <right/>
      <top style="thin">
        <color indexed="64"/>
      </top>
      <bottom style="thin">
        <color rgb="FFE7E6E6"/>
      </bottom>
      <diagonal/>
    </border>
    <border>
      <left/>
      <right style="thin">
        <color indexed="64"/>
      </right>
      <top style="thin">
        <color indexed="64"/>
      </top>
      <bottom style="thin">
        <color rgb="FFE7E6E6"/>
      </bottom>
      <diagonal/>
    </border>
    <border>
      <left style="thin">
        <color theme="1"/>
      </left>
      <right style="thin">
        <color theme="1"/>
      </right>
      <top style="thin">
        <color indexed="64"/>
      </top>
      <bottom style="hair">
        <color theme="1"/>
      </bottom>
      <diagonal/>
    </border>
    <border>
      <left/>
      <right/>
      <top style="thin">
        <color indexed="64"/>
      </top>
      <bottom style="thin">
        <color rgb="FFE6E7E8"/>
      </bottom>
      <diagonal/>
    </border>
    <border>
      <left/>
      <right/>
      <top style="thin">
        <color indexed="64"/>
      </top>
      <bottom style="thin">
        <color indexed="64"/>
      </bottom>
      <diagonal/>
    </border>
    <border>
      <left style="thin">
        <color theme="1"/>
      </left>
      <right style="thin">
        <color theme="1"/>
      </right>
      <top style="hair">
        <color theme="1"/>
      </top>
      <bottom style="thin">
        <color indexed="64"/>
      </bottom>
      <diagonal/>
    </border>
    <border>
      <left style="thin">
        <color theme="1"/>
      </left>
      <right/>
      <top style="thin">
        <color theme="1"/>
      </top>
      <bottom style="thin">
        <color indexed="64"/>
      </bottom>
      <diagonal/>
    </border>
    <border>
      <left style="hair">
        <color theme="1"/>
      </left>
      <right style="thin">
        <color theme="1"/>
      </right>
      <top style="thin">
        <color theme="1"/>
      </top>
      <bottom style="thin">
        <color indexed="64"/>
      </bottom>
      <diagonal/>
    </border>
    <border>
      <left/>
      <right style="thin">
        <color theme="1"/>
      </right>
      <top/>
      <bottom/>
      <diagonal/>
    </border>
    <border>
      <left style="hair">
        <color indexed="64"/>
      </left>
      <right style="hair">
        <color theme="1"/>
      </right>
      <top style="thin">
        <color theme="1"/>
      </top>
      <bottom style="hair">
        <color theme="1"/>
      </bottom>
      <diagonal/>
    </border>
    <border>
      <left style="thin">
        <color indexed="64"/>
      </left>
      <right/>
      <top style="hair">
        <color indexed="64"/>
      </top>
      <bottom style="hair">
        <color indexed="64"/>
      </bottom>
      <diagonal/>
    </border>
    <border>
      <left style="hair">
        <color indexed="64"/>
      </left>
      <right style="hair">
        <color theme="1"/>
      </right>
      <top style="hair">
        <color theme="1"/>
      </top>
      <bottom style="thin">
        <color theme="1"/>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theme="1"/>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theme="1"/>
      </left>
      <right style="thin">
        <color theme="1"/>
      </right>
      <top style="hair">
        <color indexed="64"/>
      </top>
      <bottom style="hair">
        <color theme="1"/>
      </bottom>
      <diagonal/>
    </border>
    <border>
      <left style="hair">
        <color theme="1"/>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style="hair">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hair">
        <color indexed="64"/>
      </left>
      <right style="hair">
        <color indexed="64"/>
      </right>
      <top style="thin">
        <color theme="1"/>
      </top>
      <bottom/>
      <diagonal/>
    </border>
    <border>
      <left style="hair">
        <color theme="1"/>
      </left>
      <right style="hair">
        <color theme="1"/>
      </right>
      <top style="hair">
        <color indexed="64"/>
      </top>
      <bottom/>
      <diagonal/>
    </border>
    <border>
      <left style="hair">
        <color theme="1"/>
      </left>
      <right style="hair">
        <color theme="1"/>
      </right>
      <top style="hair">
        <color indexed="64"/>
      </top>
      <bottom style="hair">
        <color indexed="64"/>
      </bottom>
      <diagonal/>
    </border>
    <border>
      <left style="hair">
        <color theme="1"/>
      </left>
      <right style="hair">
        <color theme="1"/>
      </right>
      <top/>
      <bottom style="hair">
        <color indexed="64"/>
      </bottom>
      <diagonal/>
    </border>
    <border>
      <left style="thin">
        <color rgb="FFE6E7E8"/>
      </left>
      <right/>
      <top/>
      <bottom style="thin">
        <color indexed="64"/>
      </bottom>
      <diagonal/>
    </border>
    <border>
      <left style="hair">
        <color theme="1"/>
      </left>
      <right style="hair">
        <color indexed="64"/>
      </right>
      <top style="thin">
        <color indexed="64"/>
      </top>
      <bottom style="thin">
        <color theme="1"/>
      </bottom>
      <diagonal/>
    </border>
    <border>
      <left style="thin">
        <color indexed="64"/>
      </left>
      <right style="hair">
        <color indexed="64"/>
      </right>
      <top style="thin">
        <color theme="1"/>
      </top>
      <bottom style="thin">
        <color indexed="64"/>
      </bottom>
      <diagonal/>
    </border>
    <border>
      <left/>
      <right style="thin">
        <color indexed="64"/>
      </right>
      <top/>
      <bottom style="thin">
        <color rgb="FFE6E7E8"/>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rgb="FFE6E7E8"/>
      </top>
      <bottom style="thin">
        <color indexed="64"/>
      </bottom>
      <diagonal/>
    </border>
    <border>
      <left style="hair">
        <color indexed="64"/>
      </left>
      <right style="thin">
        <color indexed="64"/>
      </right>
      <top style="hair">
        <color indexed="64"/>
      </top>
      <bottom style="hair">
        <color indexed="64"/>
      </bottom>
      <diagonal/>
    </border>
    <border>
      <left/>
      <right style="thin">
        <color rgb="FFE6E7E8"/>
      </right>
      <top style="thin">
        <color theme="1"/>
      </top>
      <bottom/>
      <diagonal/>
    </border>
    <border>
      <left/>
      <right/>
      <top style="thin">
        <color indexed="64"/>
      </top>
      <bottom style="thin">
        <color theme="1"/>
      </bottom>
      <diagonal/>
    </border>
    <border>
      <left style="thin">
        <color indexed="64"/>
      </left>
      <right/>
      <top/>
      <bottom style="thin">
        <color rgb="FFE7E6E6"/>
      </bottom>
      <diagonal/>
    </border>
    <border>
      <left style="hair">
        <color indexed="64"/>
      </left>
      <right style="hair">
        <color indexed="64"/>
      </right>
      <top style="hair">
        <color theme="1"/>
      </top>
      <bottom style="thin">
        <color indexed="64"/>
      </bottom>
      <diagonal/>
    </border>
    <border>
      <left style="hair">
        <color theme="1"/>
      </left>
      <right style="hair">
        <color indexed="64"/>
      </right>
      <top style="hair">
        <color indexed="64"/>
      </top>
      <bottom style="hair">
        <color theme="1"/>
      </bottom>
      <diagonal/>
    </border>
    <border>
      <left style="thin">
        <color theme="1"/>
      </left>
      <right/>
      <top style="hair">
        <color theme="1"/>
      </top>
      <bottom style="thin">
        <color indexed="64"/>
      </bottom>
      <diagonal/>
    </border>
    <border>
      <left style="hair">
        <color theme="1"/>
      </left>
      <right style="hair">
        <color theme="1"/>
      </right>
      <top style="hair">
        <color theme="1"/>
      </top>
      <bottom style="thin">
        <color indexed="64"/>
      </bottom>
      <diagonal/>
    </border>
    <border>
      <left style="hair">
        <color theme="1"/>
      </left>
      <right style="hair">
        <color indexed="64"/>
      </right>
      <top style="hair">
        <color theme="1"/>
      </top>
      <bottom style="thin">
        <color indexed="64"/>
      </bottom>
      <diagonal/>
    </border>
    <border>
      <left style="hair">
        <color indexed="64"/>
      </left>
      <right style="hair">
        <color theme="1"/>
      </right>
      <top style="hair">
        <color theme="1"/>
      </top>
      <bottom style="thin">
        <color indexed="64"/>
      </bottom>
      <diagonal/>
    </border>
    <border>
      <left style="thin">
        <color theme="1"/>
      </left>
      <right style="hair">
        <color theme="1"/>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theme="1"/>
      </left>
      <right style="hair">
        <color theme="1"/>
      </right>
      <top style="hair">
        <color indexed="64"/>
      </top>
      <bottom style="hair">
        <color theme="1"/>
      </bottom>
      <diagonal/>
    </border>
    <border>
      <left style="hair">
        <color indexed="64"/>
      </left>
      <right style="hair">
        <color indexed="64"/>
      </right>
      <top style="hair">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hair">
        <color indexed="64"/>
      </right>
      <top style="hair">
        <color theme="1"/>
      </top>
      <bottom style="thin">
        <color theme="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theme="1"/>
      </left>
      <right/>
      <top/>
      <bottom/>
      <diagonal/>
    </border>
    <border>
      <left style="thin">
        <color indexed="64"/>
      </left>
      <right/>
      <top style="thin">
        <color theme="1"/>
      </top>
      <bottom/>
      <diagonal/>
    </border>
    <border>
      <left style="hair">
        <color theme="1"/>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theme="1"/>
      </right>
      <top style="hair">
        <color theme="1"/>
      </top>
      <bottom style="thin">
        <color theme="1"/>
      </bottom>
      <diagonal/>
    </border>
    <border>
      <left style="hair">
        <color theme="1"/>
      </left>
      <right style="thin">
        <color theme="1"/>
      </right>
      <top/>
      <bottom style="thin">
        <color indexed="64"/>
      </bottom>
      <diagonal/>
    </border>
    <border>
      <left style="thin">
        <color theme="1"/>
      </left>
      <right style="hair">
        <color theme="1"/>
      </right>
      <top style="hair">
        <color theme="1"/>
      </top>
      <bottom style="thin">
        <color indexed="64"/>
      </bottom>
      <diagonal/>
    </border>
    <border>
      <left/>
      <right style="thin">
        <color rgb="FFE6E7E8"/>
      </right>
      <top style="thin">
        <color indexed="64"/>
      </top>
      <bottom style="thin">
        <color indexed="64"/>
      </bottom>
      <diagonal/>
    </border>
    <border>
      <left style="hair">
        <color theme="1"/>
      </left>
      <right style="hair">
        <color theme="1"/>
      </right>
      <top style="hair">
        <color indexed="64"/>
      </top>
      <bottom style="thin">
        <color theme="1"/>
      </bottom>
      <diagonal/>
    </border>
    <border>
      <left/>
      <right style="thin">
        <color indexed="64"/>
      </right>
      <top style="thin">
        <color indexed="64"/>
      </top>
      <bottom style="thin">
        <color indexed="64"/>
      </bottom>
      <diagonal/>
    </border>
    <border>
      <left style="thin">
        <color theme="1"/>
      </left>
      <right style="thin">
        <color theme="1"/>
      </right>
      <top style="thin">
        <color indexed="64"/>
      </top>
      <bottom style="hair">
        <color indexed="64"/>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theme="1"/>
      </top>
      <bottom style="hair">
        <color indexed="64"/>
      </bottom>
      <diagonal/>
    </border>
    <border>
      <left style="hair">
        <color indexed="64"/>
      </left>
      <right style="hair">
        <color indexed="64"/>
      </right>
      <top style="thin">
        <color indexed="64"/>
      </top>
      <bottom/>
      <diagonal/>
    </border>
    <border>
      <left style="thin">
        <color rgb="FFE6E7E8"/>
      </left>
      <right/>
      <top style="thin">
        <color indexed="64"/>
      </top>
      <bottom style="thin">
        <color indexed="64"/>
      </bottom>
      <diagonal/>
    </border>
    <border>
      <left style="hair">
        <color indexed="64"/>
      </left>
      <right/>
      <top/>
      <bottom/>
      <diagonal/>
    </border>
    <border>
      <left style="hair">
        <color theme="1"/>
      </left>
      <right style="hair">
        <color indexed="64"/>
      </right>
      <top/>
      <bottom style="hair">
        <color theme="1"/>
      </bottom>
      <diagonal/>
    </border>
    <border>
      <left style="hair">
        <color theme="1"/>
      </left>
      <right style="hair">
        <color indexed="64"/>
      </right>
      <top style="hair">
        <color indexed="64"/>
      </top>
      <bottom style="hair">
        <color indexed="64"/>
      </bottom>
      <diagonal/>
    </border>
    <border>
      <left style="hair">
        <color theme="1"/>
      </left>
      <right style="hair">
        <color indexed="64"/>
      </right>
      <top style="thin">
        <color indexed="64"/>
      </top>
      <bottom/>
      <diagonal/>
    </border>
    <border>
      <left style="hair">
        <color theme="1"/>
      </left>
      <right/>
      <top style="thin">
        <color theme="1"/>
      </top>
      <bottom/>
      <diagonal/>
    </border>
    <border>
      <left style="hair">
        <color theme="1"/>
      </left>
      <right style="hair">
        <color theme="1"/>
      </right>
      <top style="hair">
        <color indexed="64"/>
      </top>
      <bottom style="hair">
        <color theme="1"/>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theme="2"/>
      </top>
      <bottom style="thin">
        <color indexed="64"/>
      </bottom>
      <diagonal/>
    </border>
    <border>
      <left/>
      <right style="thin">
        <color indexed="64"/>
      </right>
      <top style="thin">
        <color theme="2"/>
      </top>
      <bottom style="thin">
        <color indexed="64"/>
      </bottom>
      <diagonal/>
    </border>
    <border>
      <left style="thin">
        <color indexed="64"/>
      </left>
      <right/>
      <top/>
      <bottom style="thin">
        <color theme="2"/>
      </bottom>
      <diagonal/>
    </border>
    <border>
      <left style="thin">
        <color theme="1"/>
      </left>
      <right style="hair">
        <color theme="1"/>
      </right>
      <top style="hair">
        <color indexed="64"/>
      </top>
      <bottom style="thin">
        <color theme="1"/>
      </bottom>
      <diagonal/>
    </border>
    <border>
      <left style="thin">
        <color theme="1"/>
      </left>
      <right style="hair">
        <color theme="1"/>
      </right>
      <top style="hair">
        <color indexed="64"/>
      </top>
      <bottom/>
      <diagonal/>
    </border>
    <border>
      <left style="hair">
        <color theme="1"/>
      </left>
      <right style="thin">
        <color indexed="64"/>
      </right>
      <top style="hair">
        <color indexed="64"/>
      </top>
      <bottom/>
      <diagonal/>
    </border>
    <border>
      <left style="hair">
        <color theme="1"/>
      </left>
      <right style="hair">
        <color indexed="64"/>
      </right>
      <top style="thin">
        <color theme="1"/>
      </top>
      <bottom style="hair">
        <color theme="1"/>
      </bottom>
      <diagonal/>
    </border>
    <border>
      <left/>
      <right/>
      <top style="thin">
        <color theme="1"/>
      </top>
      <bottom style="hair">
        <color theme="1"/>
      </bottom>
      <diagonal/>
    </border>
    <border>
      <left style="hair">
        <color indexed="64"/>
      </left>
      <right/>
      <top style="hair">
        <color theme="1"/>
      </top>
      <bottom style="hair">
        <color theme="1"/>
      </bottom>
      <diagonal/>
    </border>
    <border>
      <left style="hair">
        <color indexed="64"/>
      </left>
      <right/>
      <top style="hair">
        <color theme="1"/>
      </top>
      <bottom style="thin">
        <color theme="1"/>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top/>
      <bottom style="thin">
        <color theme="2"/>
      </bottom>
      <diagonal/>
    </border>
    <border>
      <left style="hair">
        <color theme="1"/>
      </left>
      <right style="thin">
        <color theme="1"/>
      </right>
      <top style="hair">
        <color indexed="64"/>
      </top>
      <bottom style="hair">
        <color indexed="64"/>
      </bottom>
      <diagonal/>
    </border>
    <border>
      <left style="hair">
        <color theme="1"/>
      </left>
      <right style="thin">
        <color theme="1"/>
      </right>
      <top style="hair">
        <color indexed="64"/>
      </top>
      <bottom/>
      <diagonal/>
    </border>
    <border>
      <left style="hair">
        <color theme="1"/>
      </left>
      <right style="thin">
        <color theme="1"/>
      </right>
      <top style="hair">
        <color indexed="64"/>
      </top>
      <bottom style="thin">
        <color indexed="64"/>
      </bottom>
      <diagonal/>
    </border>
    <border>
      <left style="hair">
        <color indexed="64"/>
      </left>
      <right style="hair">
        <color indexed="64"/>
      </right>
      <top style="thin">
        <color theme="1"/>
      </top>
      <bottom style="thin">
        <color theme="1"/>
      </bottom>
      <diagonal/>
    </border>
    <border>
      <left style="hair">
        <color indexed="64"/>
      </left>
      <right style="thin">
        <color indexed="64"/>
      </right>
      <top style="thin">
        <color theme="1"/>
      </top>
      <bottom style="thin">
        <color theme="1"/>
      </bottom>
      <diagonal/>
    </border>
    <border>
      <left style="thin">
        <color theme="1"/>
      </left>
      <right style="thin">
        <color theme="1"/>
      </right>
      <top style="hair">
        <color indexed="64"/>
      </top>
      <bottom/>
      <diagonal/>
    </border>
    <border>
      <left style="thin">
        <color theme="1"/>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theme="1"/>
      </right>
      <top style="hair">
        <color theme="1"/>
      </top>
      <bottom style="thin">
        <color indexed="64"/>
      </bottom>
      <diagonal/>
    </border>
    <border>
      <left style="thin">
        <color indexed="64"/>
      </left>
      <right/>
      <top/>
      <bottom style="hair">
        <color indexed="64"/>
      </bottom>
      <diagonal/>
    </border>
    <border>
      <left style="thin">
        <color indexed="64"/>
      </left>
      <right style="thin">
        <color indexed="64"/>
      </right>
      <top style="thin">
        <color theme="1"/>
      </top>
      <bottom/>
      <diagonal/>
    </border>
    <border>
      <left style="thin">
        <color theme="1"/>
      </left>
      <right style="hair">
        <color indexed="64"/>
      </right>
      <top/>
      <bottom/>
      <diagonal/>
    </border>
    <border>
      <left style="hair">
        <color indexed="64"/>
      </left>
      <right style="thin">
        <color theme="1"/>
      </right>
      <top style="thin">
        <color theme="1"/>
      </top>
      <bottom style="thin">
        <color indexed="64"/>
      </bottom>
      <diagonal/>
    </border>
    <border>
      <left style="thin">
        <color theme="1"/>
      </left>
      <right style="hair">
        <color indexed="64"/>
      </right>
      <top style="thin">
        <color indexed="64"/>
      </top>
      <bottom style="hair">
        <color indexed="64"/>
      </bottom>
      <diagonal/>
    </border>
    <border>
      <left/>
      <right style="thin">
        <color indexed="64"/>
      </right>
      <top/>
      <bottom style="thin">
        <color rgb="FFE7E6E6"/>
      </bottom>
      <diagonal/>
    </border>
    <border>
      <left style="hair">
        <color indexed="64"/>
      </left>
      <right style="hair">
        <color indexed="64"/>
      </right>
      <top style="thin">
        <color theme="1"/>
      </top>
      <bottom style="thin">
        <color indexed="64"/>
      </bottom>
      <diagonal/>
    </border>
    <border>
      <left style="thin">
        <color theme="1"/>
      </left>
      <right/>
      <top style="thin">
        <color rgb="FFE6E7E8"/>
      </top>
      <bottom/>
      <diagonal/>
    </border>
    <border>
      <left style="thin">
        <color theme="1"/>
      </left>
      <right style="hair">
        <color theme="1"/>
      </right>
      <top style="thin">
        <color theme="1"/>
      </top>
      <bottom style="thin">
        <color indexed="64"/>
      </bottom>
      <diagonal/>
    </border>
    <border>
      <left/>
      <right style="thin">
        <color theme="1"/>
      </right>
      <top style="thin">
        <color theme="1"/>
      </top>
      <bottom style="thin">
        <color indexed="64"/>
      </bottom>
      <diagonal/>
    </border>
    <border>
      <left style="thin">
        <color indexed="64"/>
      </left>
      <right style="hair">
        <color theme="1"/>
      </right>
      <top/>
      <bottom style="thin">
        <color indexed="64"/>
      </bottom>
      <diagonal/>
    </border>
    <border>
      <left style="hair">
        <color theme="1"/>
      </left>
      <right style="thin">
        <color indexed="64"/>
      </right>
      <top style="hair">
        <color indexed="64"/>
      </top>
      <bottom style="thin">
        <color indexed="64"/>
      </bottom>
      <diagonal/>
    </border>
    <border>
      <left style="thin">
        <color indexed="64"/>
      </left>
      <right style="hair">
        <color theme="1"/>
      </right>
      <top style="thin">
        <color indexed="64"/>
      </top>
      <bottom style="thin">
        <color indexed="64"/>
      </bottom>
      <diagonal/>
    </border>
    <border>
      <left style="thin">
        <color indexed="64"/>
      </left>
      <right style="hair">
        <color theme="1"/>
      </right>
      <top style="thin">
        <color indexed="64"/>
      </top>
      <bottom style="hair">
        <color indexed="64"/>
      </bottom>
      <diagonal/>
    </border>
    <border>
      <left style="hair">
        <color indexed="64"/>
      </left>
      <right style="thin">
        <color indexed="64"/>
      </right>
      <top style="thin">
        <color indexed="64"/>
      </top>
      <bottom style="thin">
        <color theme="1"/>
      </bottom>
      <diagonal/>
    </border>
    <border>
      <left style="hair">
        <color indexed="64"/>
      </left>
      <right/>
      <top style="thin">
        <color indexed="64"/>
      </top>
      <bottom style="thin">
        <color theme="1"/>
      </bottom>
      <diagonal/>
    </border>
    <border>
      <left style="hair">
        <color indexed="64"/>
      </left>
      <right style="thin">
        <color theme="1"/>
      </right>
      <top style="thin">
        <color indexed="64"/>
      </top>
      <bottom style="thin">
        <color indexed="64"/>
      </bottom>
      <diagonal/>
    </border>
    <border>
      <left style="hair">
        <color indexed="64"/>
      </left>
      <right style="hair">
        <color indexed="64"/>
      </right>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hair">
        <color theme="1"/>
      </right>
      <top style="hair">
        <color indexed="64"/>
      </top>
      <bottom style="thin">
        <color theme="1"/>
      </bottom>
      <diagonal/>
    </border>
    <border>
      <left style="hair">
        <color theme="1"/>
      </left>
      <right style="thin">
        <color theme="1"/>
      </right>
      <top style="hair">
        <color indexed="64"/>
      </top>
      <bottom style="thin">
        <color theme="1"/>
      </bottom>
      <diagonal/>
    </border>
    <border>
      <left style="hair">
        <color theme="1"/>
      </left>
      <right style="thin">
        <color theme="1"/>
      </right>
      <top style="thin">
        <color theme="1"/>
      </top>
      <bottom/>
      <diagonal/>
    </border>
    <border>
      <left style="hair">
        <color indexed="64"/>
      </left>
      <right style="hair">
        <color theme="1"/>
      </right>
      <top style="thin">
        <color theme="1"/>
      </top>
      <bottom style="hair">
        <color indexed="64"/>
      </bottom>
      <diagonal/>
    </border>
    <border>
      <left style="hair">
        <color theme="1"/>
      </left>
      <right style="hair">
        <color theme="1"/>
      </right>
      <top style="thin">
        <color theme="1"/>
      </top>
      <bottom style="thin">
        <color indexed="64"/>
      </bottom>
      <diagonal/>
    </border>
    <border>
      <left style="hair">
        <color theme="1"/>
      </left>
      <right/>
      <top style="thin">
        <color theme="1"/>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theme="1"/>
      </right>
      <top style="thin">
        <color indexed="64"/>
      </top>
      <bottom style="thin">
        <color indexed="64"/>
      </bottom>
      <diagonal/>
    </border>
    <border>
      <left style="thin">
        <color theme="1"/>
      </left>
      <right style="hair">
        <color theme="1"/>
      </right>
      <top style="thin">
        <color theme="1"/>
      </top>
      <bottom style="hair">
        <color indexed="64"/>
      </bottom>
      <diagonal/>
    </border>
    <border>
      <left style="hair">
        <color theme="1"/>
      </left>
      <right style="hair">
        <color theme="1"/>
      </right>
      <top style="thin">
        <color theme="1"/>
      </top>
      <bottom style="hair">
        <color indexed="64"/>
      </bottom>
      <diagonal/>
    </border>
    <border>
      <left style="hair">
        <color theme="1"/>
      </left>
      <right style="thin">
        <color theme="1"/>
      </right>
      <top style="thin">
        <color theme="1"/>
      </top>
      <bottom style="hair">
        <color indexed="64"/>
      </bottom>
      <diagonal/>
    </border>
    <border>
      <left style="hair">
        <color theme="1"/>
      </left>
      <right style="thin">
        <color theme="1"/>
      </right>
      <top/>
      <bottom style="thin">
        <color theme="1"/>
      </bottom>
      <diagonal/>
    </border>
    <border>
      <left/>
      <right/>
      <top style="thin">
        <color theme="4" tint="0.39997558519241921"/>
      </top>
      <bottom style="thin">
        <color theme="4" tint="0.39997558519241921"/>
      </bottom>
      <diagonal/>
    </border>
    <border>
      <left style="thin">
        <color theme="1"/>
      </left>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theme="1"/>
      </bottom>
      <diagonal/>
    </border>
    <border>
      <left style="hair">
        <color indexed="64"/>
      </left>
      <right style="thin">
        <color indexed="64"/>
      </right>
      <top/>
      <bottom style="thin">
        <color indexed="64"/>
      </bottom>
      <diagonal/>
    </border>
    <border>
      <left style="thin">
        <color theme="1"/>
      </left>
      <right style="hair">
        <color indexed="64"/>
      </right>
      <top style="thin">
        <color theme="1"/>
      </top>
      <bottom style="hair">
        <color indexed="64"/>
      </bottom>
      <diagonal/>
    </border>
    <border>
      <left style="hair">
        <color indexed="64"/>
      </left>
      <right style="thin">
        <color indexed="64"/>
      </right>
      <top style="thin">
        <color theme="1"/>
      </top>
      <bottom/>
      <diagonal/>
    </border>
    <border>
      <left style="thin">
        <color indexed="64"/>
      </left>
      <right/>
      <top/>
      <bottom style="thin">
        <color theme="4" tint="0.39997558519241921"/>
      </bottom>
      <diagonal/>
    </border>
    <border>
      <left style="thin">
        <color indexed="64"/>
      </left>
      <right style="thin">
        <color theme="4" tint="0.39997558519241921"/>
      </right>
      <top/>
      <bottom style="thin">
        <color theme="4" tint="0.39997558519241921"/>
      </bottom>
      <diagonal/>
    </border>
    <border>
      <left style="hair">
        <color indexed="64"/>
      </left>
      <right style="thin">
        <color theme="1"/>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top/>
      <bottom style="medium">
        <color theme="4" tint="0.399975585192419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indexed="64"/>
      </right>
      <top/>
      <bottom style="thin">
        <color theme="2"/>
      </bottom>
      <diagonal/>
    </border>
    <border>
      <left/>
      <right/>
      <top style="thin">
        <color indexed="64"/>
      </top>
      <bottom style="thin">
        <color theme="2"/>
      </bottom>
      <diagonal/>
    </border>
    <border>
      <left style="thin">
        <color indexed="64"/>
      </left>
      <right/>
      <top style="thin">
        <color indexed="64"/>
      </top>
      <bottom style="thin">
        <color theme="2"/>
      </bottom>
      <diagonal/>
    </border>
    <border>
      <left/>
      <right style="thin">
        <color indexed="64"/>
      </right>
      <top style="thin">
        <color theme="2"/>
      </top>
      <bottom/>
      <diagonal/>
    </border>
    <border>
      <left/>
      <right style="thin">
        <color indexed="64"/>
      </right>
      <top style="thin">
        <color indexed="64"/>
      </top>
      <bottom style="thin">
        <color theme="2"/>
      </bottom>
      <diagonal/>
    </border>
    <border>
      <left style="thin">
        <color indexed="64"/>
      </left>
      <right/>
      <top style="thin">
        <color theme="2"/>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hair">
        <color theme="1"/>
      </right>
      <top style="thin">
        <color indexed="64"/>
      </top>
      <bottom style="hair">
        <color theme="1"/>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
      <left style="hair">
        <color theme="1"/>
      </left>
      <right style="thin">
        <color indexed="64"/>
      </right>
      <top style="hair">
        <color theme="1"/>
      </top>
      <bottom style="thin">
        <color theme="1"/>
      </bottom>
      <diagonal/>
    </border>
    <border>
      <left/>
      <right/>
      <top style="thin">
        <color theme="2"/>
      </top>
      <bottom/>
      <diagonal/>
    </border>
    <border>
      <left style="thin">
        <color theme="1"/>
      </left>
      <right style="thin">
        <color indexed="64"/>
      </right>
      <top style="thin">
        <color theme="1"/>
      </top>
      <bottom style="thin">
        <color indexed="64"/>
      </bottom>
      <diagonal/>
    </border>
    <border>
      <left style="thin">
        <color indexed="64"/>
      </left>
      <right/>
      <top style="hair">
        <color indexed="64"/>
      </top>
      <bottom/>
      <diagonal/>
    </border>
    <border>
      <left style="hair">
        <color indexed="64"/>
      </left>
      <right style="hair">
        <color theme="1"/>
      </right>
      <top/>
      <bottom style="thin">
        <color theme="1"/>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theme="1"/>
      </left>
      <right style="thin">
        <color indexed="64"/>
      </right>
      <top/>
      <bottom style="hair">
        <color theme="1"/>
      </bottom>
      <diagonal/>
    </border>
    <border>
      <left style="thin">
        <color indexed="64"/>
      </left>
      <right/>
      <top style="hair">
        <color theme="1"/>
      </top>
      <bottom style="hair">
        <color theme="1"/>
      </bottom>
      <diagonal/>
    </border>
    <border>
      <left style="hair">
        <color theme="1"/>
      </left>
      <right style="thin">
        <color indexed="64"/>
      </right>
      <top style="hair">
        <color theme="1"/>
      </top>
      <bottom style="hair">
        <color theme="1"/>
      </bottom>
      <diagonal/>
    </border>
    <border>
      <left style="thin">
        <color indexed="64"/>
      </left>
      <right/>
      <top style="hair">
        <color theme="1"/>
      </top>
      <bottom style="thin">
        <color indexed="64"/>
      </bottom>
      <diagonal/>
    </border>
    <border>
      <left style="hair">
        <color theme="1"/>
      </left>
      <right style="thin">
        <color indexed="64"/>
      </right>
      <top style="hair">
        <color theme="1"/>
      </top>
      <bottom style="thin">
        <color indexed="64"/>
      </bottom>
      <diagonal/>
    </border>
    <border>
      <left style="thin">
        <color indexed="64"/>
      </left>
      <right style="hair">
        <color theme="1"/>
      </right>
      <top style="hair">
        <color theme="1"/>
      </top>
      <bottom/>
      <diagonal/>
    </border>
    <border>
      <left style="thin">
        <color indexed="64"/>
      </left>
      <right style="hair">
        <color theme="1"/>
      </right>
      <top style="hair">
        <color indexed="64"/>
      </top>
      <bottom style="hair">
        <color theme="1"/>
      </bottom>
      <diagonal/>
    </border>
    <border>
      <left style="hair">
        <color theme="1"/>
      </left>
      <right style="thin">
        <color indexed="64"/>
      </right>
      <top style="hair">
        <color indexed="64"/>
      </top>
      <bottom style="hair">
        <color indexed="64"/>
      </bottom>
      <diagonal/>
    </border>
    <border>
      <left style="hair">
        <color indexed="64"/>
      </left>
      <right style="hair">
        <color theme="1"/>
      </right>
      <top style="hair">
        <color theme="1"/>
      </top>
      <bottom style="hair">
        <color indexed="64"/>
      </bottom>
      <diagonal/>
    </border>
    <border>
      <left style="hair">
        <color theme="1"/>
      </left>
      <right style="hair">
        <color theme="1"/>
      </right>
      <top/>
      <bottom/>
      <diagonal/>
    </border>
    <border>
      <left style="hair">
        <color theme="1"/>
      </left>
      <right style="hair">
        <color theme="1"/>
      </right>
      <top style="hair">
        <color theme="1"/>
      </top>
      <bottom style="hair">
        <color indexed="64"/>
      </bottom>
      <diagonal/>
    </border>
    <border>
      <left style="hair">
        <color theme="1"/>
      </left>
      <right style="thin">
        <color theme="1"/>
      </right>
      <top style="thin">
        <color indexed="64"/>
      </top>
      <bottom style="hair">
        <color theme="1"/>
      </bottom>
      <diagonal/>
    </border>
    <border>
      <left style="thin">
        <color theme="1"/>
      </left>
      <right style="thin">
        <color indexed="64"/>
      </right>
      <top style="hair">
        <color theme="1"/>
      </top>
      <bottom style="hair">
        <color theme="1"/>
      </bottom>
      <diagonal/>
    </border>
  </borders>
  <cellStyleXfs count="11">
    <xf numFmtId="0" fontId="0" fillId="0" borderId="0"/>
    <xf numFmtId="9" fontId="18" fillId="0" borderId="0" applyFont="0" applyFill="0" applyBorder="0" applyAlignment="0" applyProtection="0"/>
    <xf numFmtId="43" fontId="18" fillId="0" borderId="0" applyFont="0" applyFill="0" applyBorder="0" applyAlignment="0" applyProtection="0"/>
    <xf numFmtId="0" fontId="18" fillId="8" borderId="0" applyNumberFormat="0" applyBorder="0" applyAlignment="0" applyProtection="0"/>
    <xf numFmtId="0" fontId="31" fillId="0" borderId="0" applyNumberFormat="0" applyFill="0" applyBorder="0" applyAlignment="0" applyProtection="0"/>
    <xf numFmtId="44" fontId="18" fillId="0" borderId="0" applyFont="0" applyFill="0" applyBorder="0" applyAlignment="0" applyProtection="0"/>
    <xf numFmtId="0" fontId="34" fillId="0" borderId="0" applyNumberFormat="0" applyFill="0" applyBorder="0" applyAlignment="0" applyProtection="0"/>
    <xf numFmtId="0" fontId="36" fillId="0" borderId="251" applyNumberFormat="0" applyFill="0" applyAlignment="0" applyProtection="0"/>
    <xf numFmtId="43" fontId="18" fillId="0" borderId="0" applyFont="0" applyFill="0" applyBorder="0" applyAlignment="0" applyProtection="0"/>
    <xf numFmtId="44" fontId="18" fillId="0" borderId="0" applyFont="0" applyFill="0" applyBorder="0" applyAlignment="0" applyProtection="0"/>
    <xf numFmtId="0" fontId="57" fillId="0" borderId="0" applyNumberFormat="0" applyFill="0" applyBorder="0" applyAlignment="0" applyProtection="0"/>
  </cellStyleXfs>
  <cellXfs count="1954">
    <xf numFmtId="0" fontId="0" fillId="0" borderId="0" xfId="0"/>
    <xf numFmtId="0" fontId="9" fillId="3"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7" fillId="2" borderId="0" xfId="0" applyFont="1" applyFill="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0" fillId="0" borderId="0" xfId="0" applyAlignment="1">
      <alignment vertical="center"/>
    </xf>
    <xf numFmtId="0" fontId="0" fillId="0" borderId="0" xfId="0" quotePrefix="1" applyAlignment="1">
      <alignment vertical="center" wrapText="1"/>
    </xf>
    <xf numFmtId="0" fontId="0" fillId="3" borderId="0" xfId="0" applyFill="1" applyAlignment="1">
      <alignment vertical="center"/>
    </xf>
    <xf numFmtId="0" fontId="9" fillId="3" borderId="0" xfId="0" applyFont="1" applyFill="1" applyAlignment="1">
      <alignment horizontal="left" vertical="center" wrapText="1"/>
    </xf>
    <xf numFmtId="0" fontId="0" fillId="3" borderId="0" xfId="0" applyFill="1" applyAlignment="1">
      <alignment horizontal="left" vertical="center"/>
    </xf>
    <xf numFmtId="0" fontId="2" fillId="3" borderId="0" xfId="0" applyFont="1" applyFill="1" applyAlignment="1">
      <alignment horizontal="left" vertical="center"/>
    </xf>
    <xf numFmtId="0" fontId="0" fillId="0" borderId="0" xfId="0" applyAlignment="1">
      <alignment vertical="center" wrapText="1"/>
    </xf>
    <xf numFmtId="0" fontId="6" fillId="3" borderId="0" xfId="0" applyFont="1" applyFill="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9" fillId="3" borderId="0" xfId="0" applyFont="1" applyFill="1" applyAlignment="1">
      <alignment vertical="center"/>
    </xf>
    <xf numFmtId="0" fontId="9" fillId="2" borderId="2" xfId="0" applyFont="1" applyFill="1" applyBorder="1" applyAlignment="1">
      <alignment vertical="center"/>
    </xf>
    <xf numFmtId="0" fontId="9" fillId="2" borderId="2" xfId="0" applyFont="1" applyFill="1" applyBorder="1" applyAlignment="1">
      <alignment horizontal="center" vertical="center"/>
    </xf>
    <xf numFmtId="0" fontId="9" fillId="2" borderId="0" xfId="0" applyFont="1" applyFill="1" applyAlignment="1">
      <alignment horizontal="center" vertical="center"/>
    </xf>
    <xf numFmtId="0" fontId="2" fillId="0" borderId="0" xfId="0" applyFont="1" applyAlignment="1">
      <alignment vertical="center" wrapText="1"/>
    </xf>
    <xf numFmtId="0" fontId="2" fillId="3" borderId="0" xfId="0" applyFont="1" applyFill="1" applyAlignment="1">
      <alignment vertical="center" wrapText="1"/>
    </xf>
    <xf numFmtId="0" fontId="9" fillId="3" borderId="0" xfId="0" applyFont="1" applyFill="1" applyAlignment="1">
      <alignment vertical="center" wrapText="1"/>
    </xf>
    <xf numFmtId="0" fontId="9" fillId="2" borderId="2" xfId="0" applyFont="1" applyFill="1" applyBorder="1" applyAlignment="1">
      <alignment horizontal="left" vertical="center"/>
    </xf>
    <xf numFmtId="0" fontId="9" fillId="2" borderId="0" xfId="0" applyFont="1" applyFill="1" applyAlignment="1">
      <alignment horizontal="left" vertical="center"/>
    </xf>
    <xf numFmtId="0" fontId="1" fillId="3" borderId="0" xfId="0" applyFont="1" applyFill="1" applyAlignment="1">
      <alignment vertical="center" wrapText="1"/>
    </xf>
    <xf numFmtId="0" fontId="8" fillId="3" borderId="0" xfId="0" applyFont="1" applyFill="1" applyAlignment="1">
      <alignment vertical="center" wrapText="1"/>
    </xf>
    <xf numFmtId="0" fontId="8" fillId="3" borderId="0" xfId="0" applyFont="1" applyFill="1" applyAlignment="1">
      <alignment vertical="center"/>
    </xf>
    <xf numFmtId="0" fontId="1" fillId="2" borderId="2" xfId="0" applyFont="1" applyFill="1" applyBorder="1" applyAlignment="1">
      <alignment horizontal="center" vertical="center"/>
    </xf>
    <xf numFmtId="10" fontId="0" fillId="0" borderId="0" xfId="0" applyNumberFormat="1"/>
    <xf numFmtId="0" fontId="9" fillId="0" borderId="0" xfId="0" applyFont="1" applyAlignment="1">
      <alignment vertical="center"/>
    </xf>
    <xf numFmtId="11" fontId="0" fillId="0" borderId="0" xfId="0" applyNumberFormat="1" applyAlignment="1">
      <alignment vertical="center"/>
    </xf>
    <xf numFmtId="11" fontId="2" fillId="0" borderId="0" xfId="0" applyNumberFormat="1" applyFont="1" applyAlignment="1">
      <alignment vertical="center"/>
    </xf>
    <xf numFmtId="0" fontId="0" fillId="5" borderId="8" xfId="0" applyFill="1" applyBorder="1"/>
    <xf numFmtId="0" fontId="0" fillId="5" borderId="0" xfId="0" applyFill="1"/>
    <xf numFmtId="0" fontId="0" fillId="5" borderId="9" xfId="0" applyFill="1" applyBorder="1"/>
    <xf numFmtId="0" fontId="0" fillId="5" borderId="11" xfId="0" applyFill="1" applyBorder="1"/>
    <xf numFmtId="0" fontId="0" fillId="5" borderId="13" xfId="0" applyFill="1" applyBorder="1"/>
    <xf numFmtId="0" fontId="0" fillId="4" borderId="0" xfId="0" applyFill="1"/>
    <xf numFmtId="0" fontId="0" fillId="6" borderId="0" xfId="0" applyFill="1"/>
    <xf numFmtId="43" fontId="2" fillId="0" borderId="0" xfId="2" applyFont="1" applyAlignment="1">
      <alignment vertical="center"/>
    </xf>
    <xf numFmtId="43" fontId="2" fillId="3" borderId="0" xfId="2" applyFont="1" applyFill="1" applyAlignment="1">
      <alignment vertical="center"/>
    </xf>
    <xf numFmtId="43" fontId="19" fillId="3" borderId="0" xfId="2" applyFont="1" applyFill="1" applyAlignment="1">
      <alignment vertical="center"/>
    </xf>
    <xf numFmtId="43" fontId="0" fillId="5" borderId="8" xfId="2" applyFont="1" applyFill="1" applyBorder="1" applyAlignment="1">
      <alignment vertical="center"/>
    </xf>
    <xf numFmtId="43" fontId="0" fillId="5" borderId="0" xfId="2" applyFont="1" applyFill="1" applyAlignment="1">
      <alignment vertical="center"/>
    </xf>
    <xf numFmtId="43" fontId="2" fillId="7" borderId="0" xfId="2" applyFont="1" applyFill="1" applyAlignment="1">
      <alignment vertical="center"/>
    </xf>
    <xf numFmtId="43" fontId="0" fillId="5" borderId="9" xfId="2" applyFont="1" applyFill="1" applyBorder="1" applyAlignment="1">
      <alignment vertical="center"/>
    </xf>
    <xf numFmtId="43" fontId="0" fillId="5" borderId="10" xfId="2" applyFont="1" applyFill="1" applyBorder="1" applyAlignment="1">
      <alignment vertical="center"/>
    </xf>
    <xf numFmtId="43" fontId="0" fillId="7" borderId="10" xfId="2" applyFont="1" applyFill="1" applyBorder="1" applyAlignment="1">
      <alignment horizontal="left" vertical="center"/>
    </xf>
    <xf numFmtId="43" fontId="0" fillId="5" borderId="0" xfId="2" applyFont="1" applyFill="1" applyBorder="1" applyAlignment="1">
      <alignment vertical="center"/>
    </xf>
    <xf numFmtId="43" fontId="0" fillId="5" borderId="11" xfId="2" applyFont="1" applyFill="1" applyBorder="1" applyAlignment="1">
      <alignment vertical="center"/>
    </xf>
    <xf numFmtId="43" fontId="0" fillId="5" borderId="12" xfId="2" applyFont="1" applyFill="1" applyBorder="1" applyAlignment="1">
      <alignment vertical="center"/>
    </xf>
    <xf numFmtId="43" fontId="0" fillId="5" borderId="13" xfId="2" applyFont="1" applyFill="1" applyBorder="1" applyAlignment="1">
      <alignment vertical="center"/>
    </xf>
    <xf numFmtId="43" fontId="0" fillId="0" borderId="0" xfId="2" applyFont="1" applyFill="1" applyBorder="1" applyAlignment="1">
      <alignment vertical="center"/>
    </xf>
    <xf numFmtId="43" fontId="0" fillId="7" borderId="8" xfId="2" applyFont="1" applyFill="1" applyBorder="1" applyAlignment="1">
      <alignment vertical="center"/>
    </xf>
    <xf numFmtId="43" fontId="0" fillId="7" borderId="0" xfId="2" applyFont="1" applyFill="1" applyBorder="1" applyAlignment="1">
      <alignment vertical="center"/>
    </xf>
    <xf numFmtId="43" fontId="0" fillId="7" borderId="9" xfId="2" applyFont="1" applyFill="1" applyBorder="1" applyAlignment="1">
      <alignment vertical="center"/>
    </xf>
    <xf numFmtId="43" fontId="0" fillId="7" borderId="11" xfId="2" applyFont="1" applyFill="1" applyBorder="1" applyAlignment="1">
      <alignment vertical="center"/>
    </xf>
    <xf numFmtId="43" fontId="0" fillId="7" borderId="12" xfId="2" applyFont="1" applyFill="1" applyBorder="1" applyAlignment="1">
      <alignment vertical="center"/>
    </xf>
    <xf numFmtId="43" fontId="0" fillId="7" borderId="13" xfId="2" applyFont="1" applyFill="1" applyBorder="1" applyAlignment="1">
      <alignment vertical="center"/>
    </xf>
    <xf numFmtId="43" fontId="0" fillId="7" borderId="0" xfId="2" applyFont="1" applyFill="1" applyAlignment="1">
      <alignment vertical="center"/>
    </xf>
    <xf numFmtId="43" fontId="11" fillId="0" borderId="0" xfId="2" applyFont="1" applyFill="1" applyBorder="1" applyAlignment="1">
      <alignment horizontal="right" vertical="center"/>
    </xf>
    <xf numFmtId="43" fontId="2" fillId="7" borderId="12" xfId="2" applyFont="1" applyFill="1" applyBorder="1" applyAlignment="1">
      <alignment vertical="center"/>
    </xf>
    <xf numFmtId="43" fontId="6" fillId="7" borderId="17" xfId="2" applyFont="1" applyFill="1" applyBorder="1" applyAlignment="1">
      <alignment horizontal="left" vertical="center"/>
    </xf>
    <xf numFmtId="43" fontId="0" fillId="7" borderId="17" xfId="2" applyFont="1" applyFill="1" applyBorder="1" applyAlignment="1">
      <alignment vertical="center"/>
    </xf>
    <xf numFmtId="43" fontId="2" fillId="0" borderId="0" xfId="2" applyFont="1" applyFill="1" applyBorder="1" applyAlignment="1">
      <alignment vertical="center"/>
    </xf>
    <xf numFmtId="43" fontId="6" fillId="0" borderId="0" xfId="2" applyFont="1" applyFill="1" applyBorder="1" applyAlignment="1">
      <alignment horizontal="left" vertical="center"/>
    </xf>
    <xf numFmtId="43" fontId="2" fillId="0" borderId="0" xfId="2" applyFont="1" applyFill="1" applyAlignment="1">
      <alignment vertical="center"/>
    </xf>
    <xf numFmtId="43" fontId="0" fillId="0" borderId="0" xfId="2" applyFont="1" applyAlignment="1">
      <alignment vertical="center"/>
    </xf>
    <xf numFmtId="43" fontId="0" fillId="4" borderId="17" xfId="2" applyFont="1" applyFill="1" applyBorder="1" applyAlignment="1">
      <alignment vertical="center"/>
    </xf>
    <xf numFmtId="43" fontId="1" fillId="2" borderId="2" xfId="2" applyFont="1" applyFill="1" applyBorder="1" applyAlignment="1">
      <alignment vertical="center"/>
    </xf>
    <xf numFmtId="43" fontId="1" fillId="2" borderId="2" xfId="2" applyFont="1" applyFill="1" applyBorder="1" applyAlignment="1">
      <alignment horizontal="left" vertical="center"/>
    </xf>
    <xf numFmtId="43" fontId="2" fillId="5" borderId="0" xfId="2" applyFont="1" applyFill="1" applyAlignment="1">
      <alignment vertical="center"/>
    </xf>
    <xf numFmtId="43" fontId="0" fillId="5" borderId="15" xfId="2" applyFont="1" applyFill="1" applyBorder="1" applyAlignment="1">
      <alignment vertical="center"/>
    </xf>
    <xf numFmtId="43" fontId="0" fillId="7" borderId="5" xfId="2" applyFont="1" applyFill="1" applyBorder="1" applyAlignment="1">
      <alignment vertical="center"/>
    </xf>
    <xf numFmtId="43" fontId="0" fillId="7" borderId="6" xfId="2" applyFont="1" applyFill="1" applyBorder="1" applyAlignment="1">
      <alignment vertical="center"/>
    </xf>
    <xf numFmtId="43" fontId="2" fillId="7" borderId="6" xfId="2" applyFont="1" applyFill="1" applyBorder="1" applyAlignment="1">
      <alignment vertical="center"/>
    </xf>
    <xf numFmtId="43" fontId="0" fillId="7" borderId="7" xfId="2" applyFont="1" applyFill="1" applyBorder="1" applyAlignment="1">
      <alignment vertical="center"/>
    </xf>
    <xf numFmtId="43" fontId="0" fillId="7" borderId="15" xfId="2" applyFont="1" applyFill="1" applyBorder="1" applyAlignment="1">
      <alignment vertical="center"/>
    </xf>
    <xf numFmtId="43" fontId="12" fillId="0" borderId="0" xfId="2" applyFont="1" applyFill="1" applyBorder="1" applyAlignment="1">
      <alignment vertical="center"/>
    </xf>
    <xf numFmtId="43" fontId="11" fillId="0" borderId="0" xfId="2" applyFont="1" applyFill="1" applyBorder="1" applyAlignment="1">
      <alignment horizontal="center" vertical="center"/>
    </xf>
    <xf numFmtId="43" fontId="1" fillId="2" borderId="0" xfId="2" applyFont="1" applyFill="1" applyBorder="1" applyAlignment="1">
      <alignment vertical="center"/>
    </xf>
    <xf numFmtId="43" fontId="0" fillId="4" borderId="0" xfId="2" applyFont="1" applyFill="1" applyBorder="1" applyAlignment="1">
      <alignment vertical="center" wrapText="1"/>
    </xf>
    <xf numFmtId="43" fontId="6" fillId="5" borderId="0" xfId="2" applyFont="1" applyFill="1" applyBorder="1" applyAlignment="1">
      <alignment vertical="center"/>
    </xf>
    <xf numFmtId="43" fontId="2" fillId="7" borderId="0" xfId="2" applyFont="1" applyFill="1" applyBorder="1" applyAlignment="1">
      <alignment vertical="center"/>
    </xf>
    <xf numFmtId="43" fontId="6" fillId="7" borderId="12" xfId="2" applyFont="1" applyFill="1" applyBorder="1" applyAlignment="1">
      <alignment vertical="center"/>
    </xf>
    <xf numFmtId="43" fontId="6" fillId="5" borderId="12" xfId="2" applyFont="1" applyFill="1" applyBorder="1" applyAlignment="1">
      <alignment vertical="center"/>
    </xf>
    <xf numFmtId="43" fontId="0" fillId="0" borderId="0" xfId="2" applyFont="1"/>
    <xf numFmtId="43" fontId="2" fillId="0" borderId="0" xfId="2" applyFont="1" applyBorder="1" applyAlignment="1">
      <alignment vertical="center"/>
    </xf>
    <xf numFmtId="43" fontId="5" fillId="0" borderId="0" xfId="2" applyFont="1" applyAlignment="1">
      <alignment vertical="center"/>
    </xf>
    <xf numFmtId="43" fontId="12" fillId="0" borderId="0" xfId="2" applyFont="1" applyFill="1" applyBorder="1" applyAlignment="1">
      <alignment horizontal="left" vertical="center"/>
    </xf>
    <xf numFmtId="43" fontId="11" fillId="0" borderId="0" xfId="2" applyFont="1" applyFill="1" applyBorder="1" applyAlignment="1">
      <alignment vertical="center"/>
    </xf>
    <xf numFmtId="43" fontId="1" fillId="0" borderId="0" xfId="2" applyFont="1" applyFill="1" applyBorder="1" applyAlignment="1">
      <alignment vertical="center"/>
    </xf>
    <xf numFmtId="43" fontId="1" fillId="2" borderId="0" xfId="2" applyFont="1" applyFill="1" applyBorder="1" applyAlignment="1">
      <alignment horizontal="center" vertical="center"/>
    </xf>
    <xf numFmtId="43" fontId="0" fillId="7" borderId="16" xfId="2" applyFont="1" applyFill="1" applyBorder="1" applyAlignment="1">
      <alignment vertical="center" wrapText="1"/>
    </xf>
    <xf numFmtId="43" fontId="0" fillId="5" borderId="19" xfId="2" applyFont="1" applyFill="1" applyBorder="1" applyAlignment="1">
      <alignment vertical="center"/>
    </xf>
    <xf numFmtId="43" fontId="0" fillId="5" borderId="20" xfId="2" applyFont="1" applyFill="1" applyBorder="1" applyAlignment="1">
      <alignment vertical="center"/>
    </xf>
    <xf numFmtId="0" fontId="0" fillId="5" borderId="32" xfId="0" applyFill="1" applyBorder="1"/>
    <xf numFmtId="0" fontId="18" fillId="0" borderId="0" xfId="0" applyFont="1" applyAlignment="1">
      <alignment vertical="center"/>
    </xf>
    <xf numFmtId="43" fontId="0" fillId="5" borderId="52" xfId="2" applyFont="1" applyFill="1" applyBorder="1" applyAlignment="1">
      <alignment vertical="center"/>
    </xf>
    <xf numFmtId="43" fontId="0" fillId="4" borderId="5" xfId="2" applyFont="1" applyFill="1" applyBorder="1" applyAlignment="1">
      <alignment vertical="center"/>
    </xf>
    <xf numFmtId="43" fontId="2" fillId="0" borderId="6" xfId="2" applyFont="1" applyBorder="1" applyAlignment="1">
      <alignment vertical="center"/>
    </xf>
    <xf numFmtId="43" fontId="0" fillId="4" borderId="7" xfId="2" applyFont="1" applyFill="1" applyBorder="1" applyAlignment="1">
      <alignment vertical="center"/>
    </xf>
    <xf numFmtId="43" fontId="0" fillId="4" borderId="8" xfId="2" applyFont="1" applyFill="1" applyBorder="1" applyAlignment="1">
      <alignment vertical="center"/>
    </xf>
    <xf numFmtId="43" fontId="0" fillId="4" borderId="0" xfId="2" applyFont="1" applyFill="1" applyBorder="1" applyAlignment="1">
      <alignment vertical="center"/>
    </xf>
    <xf numFmtId="43" fontId="0" fillId="4" borderId="9" xfId="2" applyFont="1" applyFill="1" applyBorder="1" applyAlignment="1">
      <alignment vertical="center"/>
    </xf>
    <xf numFmtId="43" fontId="6" fillId="4" borderId="60" xfId="2" applyFont="1" applyFill="1" applyBorder="1" applyAlignment="1">
      <alignment horizontal="left" vertical="center"/>
    </xf>
    <xf numFmtId="43" fontId="0" fillId="4" borderId="61" xfId="2" applyFont="1" applyFill="1" applyBorder="1" applyAlignment="1">
      <alignment vertical="center"/>
    </xf>
    <xf numFmtId="43" fontId="0" fillId="4" borderId="6" xfId="2" applyFont="1" applyFill="1" applyBorder="1" applyAlignment="1">
      <alignment vertical="center"/>
    </xf>
    <xf numFmtId="43" fontId="6" fillId="4" borderId="62" xfId="2" applyFont="1" applyFill="1" applyBorder="1" applyAlignment="1">
      <alignment horizontal="left" vertical="center"/>
    </xf>
    <xf numFmtId="43" fontId="6" fillId="4" borderId="11" xfId="2" applyFont="1" applyFill="1" applyBorder="1" applyAlignment="1">
      <alignment horizontal="left" vertical="center"/>
    </xf>
    <xf numFmtId="43" fontId="10" fillId="11" borderId="0" xfId="2" applyFont="1" applyFill="1" applyAlignment="1">
      <alignment vertical="center"/>
    </xf>
    <xf numFmtId="43" fontId="10" fillId="11" borderId="5" xfId="2" applyFont="1" applyFill="1" applyBorder="1" applyAlignment="1">
      <alignment vertical="center"/>
    </xf>
    <xf numFmtId="43" fontId="10" fillId="11" borderId="6" xfId="2" applyFont="1" applyFill="1" applyBorder="1" applyAlignment="1">
      <alignment vertical="center"/>
    </xf>
    <xf numFmtId="43" fontId="10" fillId="11" borderId="7" xfId="2" applyFont="1" applyFill="1" applyBorder="1" applyAlignment="1">
      <alignment vertical="center"/>
    </xf>
    <xf numFmtId="43" fontId="10" fillId="11" borderId="8" xfId="2" applyFont="1" applyFill="1" applyBorder="1" applyAlignment="1">
      <alignment vertical="center"/>
    </xf>
    <xf numFmtId="43" fontId="12" fillId="11" borderId="0" xfId="2" applyFont="1" applyFill="1" applyAlignment="1">
      <alignment vertical="center"/>
    </xf>
    <xf numFmtId="43" fontId="10" fillId="11" borderId="9" xfId="2" applyFont="1" applyFill="1" applyBorder="1" applyAlignment="1">
      <alignment vertical="center"/>
    </xf>
    <xf numFmtId="43" fontId="10" fillId="12" borderId="5" xfId="2" applyFont="1" applyFill="1" applyBorder="1" applyAlignment="1">
      <alignment vertical="center"/>
    </xf>
    <xf numFmtId="43" fontId="10" fillId="12" borderId="6" xfId="2" applyFont="1" applyFill="1" applyBorder="1" applyAlignment="1">
      <alignment vertical="center"/>
    </xf>
    <xf numFmtId="43" fontId="10" fillId="12" borderId="7" xfId="2" applyFont="1" applyFill="1" applyBorder="1" applyAlignment="1">
      <alignment vertical="center"/>
    </xf>
    <xf numFmtId="43" fontId="10" fillId="12" borderId="8" xfId="2" applyFont="1" applyFill="1" applyBorder="1" applyAlignment="1">
      <alignment vertical="center"/>
    </xf>
    <xf numFmtId="43" fontId="12" fillId="12" borderId="0" xfId="2" applyFont="1" applyFill="1" applyAlignment="1">
      <alignment vertical="center"/>
    </xf>
    <xf numFmtId="43" fontId="10" fillId="12" borderId="0" xfId="2" applyFont="1" applyFill="1" applyAlignment="1">
      <alignment vertical="center"/>
    </xf>
    <xf numFmtId="43" fontId="10" fillId="12" borderId="9" xfId="2" applyFont="1" applyFill="1" applyBorder="1" applyAlignment="1">
      <alignment vertical="center"/>
    </xf>
    <xf numFmtId="43" fontId="20" fillId="12" borderId="9" xfId="2" applyFont="1" applyFill="1" applyBorder="1" applyAlignment="1">
      <alignment horizontal="center" vertical="center"/>
    </xf>
    <xf numFmtId="43" fontId="2" fillId="12" borderId="0" xfId="2" applyFont="1" applyFill="1" applyAlignment="1">
      <alignment vertical="center"/>
    </xf>
    <xf numFmtId="43" fontId="12" fillId="12" borderId="12" xfId="2" applyFont="1" applyFill="1" applyBorder="1" applyAlignment="1">
      <alignment horizontal="center" vertical="center"/>
    </xf>
    <xf numFmtId="43" fontId="5" fillId="12" borderId="12" xfId="2" applyFont="1" applyFill="1" applyBorder="1" applyAlignment="1">
      <alignment horizontal="center" vertical="center"/>
    </xf>
    <xf numFmtId="43" fontId="11" fillId="12" borderId="0" xfId="2" applyFont="1" applyFill="1" applyAlignment="1">
      <alignment vertical="center"/>
    </xf>
    <xf numFmtId="43" fontId="0" fillId="12" borderId="5" xfId="2" applyFont="1" applyFill="1" applyBorder="1" applyAlignment="1">
      <alignment vertical="center"/>
    </xf>
    <xf numFmtId="43" fontId="0" fillId="12" borderId="6" xfId="2" applyFont="1" applyFill="1" applyBorder="1" applyAlignment="1">
      <alignment vertical="center"/>
    </xf>
    <xf numFmtId="43" fontId="0" fillId="12" borderId="7" xfId="2" applyFont="1" applyFill="1" applyBorder="1" applyAlignment="1">
      <alignment vertical="center"/>
    </xf>
    <xf numFmtId="43" fontId="0" fillId="12" borderId="8" xfId="2" applyFont="1" applyFill="1" applyBorder="1" applyAlignment="1">
      <alignment vertical="center"/>
    </xf>
    <xf numFmtId="43" fontId="5" fillId="12" borderId="0" xfId="2" applyFont="1" applyFill="1" applyBorder="1" applyAlignment="1">
      <alignment vertical="center"/>
    </xf>
    <xf numFmtId="43" fontId="0" fillId="12" borderId="0" xfId="2" applyFont="1" applyFill="1" applyBorder="1" applyAlignment="1">
      <alignment vertical="center"/>
    </xf>
    <xf numFmtId="43" fontId="2" fillId="12" borderId="0" xfId="2" applyFont="1" applyFill="1" applyBorder="1" applyAlignment="1">
      <alignment vertical="center"/>
    </xf>
    <xf numFmtId="43" fontId="0" fillId="12" borderId="9" xfId="2" applyFont="1" applyFill="1" applyBorder="1" applyAlignment="1">
      <alignment vertical="center"/>
    </xf>
    <xf numFmtId="43" fontId="5" fillId="12" borderId="0" xfId="2" applyFont="1" applyFill="1" applyBorder="1" applyAlignment="1">
      <alignment horizontal="center" vertical="center"/>
    </xf>
    <xf numFmtId="43" fontId="23" fillId="12" borderId="0" xfId="2" applyFont="1" applyFill="1" applyAlignment="1">
      <alignment vertical="center"/>
    </xf>
    <xf numFmtId="0" fontId="2" fillId="12" borderId="0" xfId="0" applyFont="1" applyFill="1" applyAlignment="1">
      <alignment vertical="center"/>
    </xf>
    <xf numFmtId="43" fontId="10" fillId="12" borderId="0" xfId="2" applyFont="1" applyFill="1" applyBorder="1" applyAlignment="1">
      <alignment vertical="center"/>
    </xf>
    <xf numFmtId="43" fontId="12" fillId="12" borderId="0" xfId="2" applyFont="1" applyFill="1" applyBorder="1" applyAlignment="1">
      <alignment vertical="center"/>
    </xf>
    <xf numFmtId="43" fontId="12" fillId="12" borderId="0" xfId="2" applyFont="1" applyFill="1" applyBorder="1" applyAlignment="1">
      <alignment horizontal="center" vertical="center"/>
    </xf>
    <xf numFmtId="43" fontId="0" fillId="4" borderId="13" xfId="2" applyFont="1" applyFill="1" applyBorder="1" applyAlignment="1">
      <alignment vertical="center"/>
    </xf>
    <xf numFmtId="43" fontId="0" fillId="5" borderId="85" xfId="2" applyFont="1" applyFill="1" applyBorder="1" applyAlignment="1">
      <alignment vertical="center"/>
    </xf>
    <xf numFmtId="43" fontId="0" fillId="4" borderId="87" xfId="2" applyFont="1" applyFill="1" applyBorder="1" applyAlignment="1">
      <alignment vertical="center"/>
    </xf>
    <xf numFmtId="43" fontId="0" fillId="4" borderId="88" xfId="2" applyFont="1" applyFill="1" applyBorder="1" applyAlignment="1">
      <alignment vertical="center"/>
    </xf>
    <xf numFmtId="43" fontId="0" fillId="4" borderId="89" xfId="2" applyFont="1" applyFill="1" applyBorder="1" applyAlignment="1">
      <alignment vertical="center"/>
    </xf>
    <xf numFmtId="43" fontId="0" fillId="4" borderId="90" xfId="2" applyFont="1" applyFill="1" applyBorder="1" applyAlignment="1">
      <alignment vertical="center"/>
    </xf>
    <xf numFmtId="43" fontId="10" fillId="12" borderId="12" xfId="2" applyFont="1" applyFill="1" applyBorder="1" applyAlignment="1">
      <alignment vertical="center"/>
    </xf>
    <xf numFmtId="43" fontId="10" fillId="5" borderId="0" xfId="2" applyFont="1" applyFill="1" applyAlignment="1">
      <alignment vertical="center"/>
    </xf>
    <xf numFmtId="43" fontId="0" fillId="4" borderId="92" xfId="2" applyFont="1" applyFill="1" applyBorder="1" applyAlignment="1">
      <alignment vertical="center"/>
    </xf>
    <xf numFmtId="43" fontId="6" fillId="7" borderId="0" xfId="2" applyFont="1" applyFill="1" applyAlignment="1">
      <alignment vertical="center"/>
    </xf>
    <xf numFmtId="43" fontId="6" fillId="5" borderId="0" xfId="2" applyFont="1" applyFill="1" applyAlignment="1">
      <alignment vertical="center"/>
    </xf>
    <xf numFmtId="43" fontId="10" fillId="5" borderId="8" xfId="2" applyFont="1" applyFill="1" applyBorder="1" applyAlignment="1">
      <alignment vertical="center"/>
    </xf>
    <xf numFmtId="43" fontId="12" fillId="5" borderId="0" xfId="2" applyFont="1" applyFill="1" applyAlignment="1">
      <alignment horizontal="center" vertical="center"/>
    </xf>
    <xf numFmtId="43" fontId="5" fillId="5" borderId="0" xfId="2" applyFont="1" applyFill="1" applyAlignment="1">
      <alignment horizontal="center" vertical="center"/>
    </xf>
    <xf numFmtId="43" fontId="20" fillId="5" borderId="0" xfId="2" applyFont="1" applyFill="1" applyAlignment="1">
      <alignment horizontal="center" vertical="center"/>
    </xf>
    <xf numFmtId="43" fontId="20" fillId="5" borderId="9" xfId="2" applyFont="1" applyFill="1" applyBorder="1" applyAlignment="1">
      <alignment horizontal="center" vertical="center"/>
    </xf>
    <xf numFmtId="43" fontId="2" fillId="5" borderId="0" xfId="2" applyFont="1" applyFill="1" applyBorder="1" applyAlignment="1">
      <alignment vertical="center"/>
    </xf>
    <xf numFmtId="43" fontId="2" fillId="4" borderId="0" xfId="2" applyFont="1" applyFill="1" applyAlignment="1">
      <alignment vertical="center"/>
    </xf>
    <xf numFmtId="43" fontId="0" fillId="5" borderId="93" xfId="2" applyFont="1" applyFill="1" applyBorder="1" applyAlignment="1">
      <alignment vertical="center"/>
    </xf>
    <xf numFmtId="43" fontId="0" fillId="5" borderId="118" xfId="2" applyFont="1" applyFill="1" applyBorder="1" applyAlignment="1">
      <alignment vertical="center"/>
    </xf>
    <xf numFmtId="43" fontId="6" fillId="4" borderId="17" xfId="2" applyFont="1" applyFill="1" applyBorder="1" applyAlignment="1">
      <alignment horizontal="left" vertical="center"/>
    </xf>
    <xf numFmtId="43" fontId="18" fillId="4" borderId="17" xfId="2" applyFont="1" applyFill="1" applyBorder="1" applyAlignment="1">
      <alignment horizontal="left" vertical="center"/>
    </xf>
    <xf numFmtId="43" fontId="25" fillId="12" borderId="6" xfId="2" applyFont="1" applyFill="1" applyBorder="1" applyAlignment="1">
      <alignment vertical="center"/>
    </xf>
    <xf numFmtId="43" fontId="10" fillId="5" borderId="9" xfId="2" applyFont="1" applyFill="1" applyBorder="1" applyAlignment="1">
      <alignment vertical="center"/>
    </xf>
    <xf numFmtId="43" fontId="10" fillId="12" borderId="11" xfId="2" applyFont="1" applyFill="1" applyBorder="1" applyAlignment="1">
      <alignment vertical="center"/>
    </xf>
    <xf numFmtId="43" fontId="20" fillId="12" borderId="12" xfId="2" applyFont="1" applyFill="1" applyBorder="1" applyAlignment="1">
      <alignment horizontal="center" vertical="center"/>
    </xf>
    <xf numFmtId="43" fontId="20" fillId="12" borderId="13" xfId="2" applyFont="1" applyFill="1" applyBorder="1" applyAlignment="1">
      <alignment horizontal="center" vertical="center"/>
    </xf>
    <xf numFmtId="43" fontId="10" fillId="12" borderId="13" xfId="2" applyFont="1" applyFill="1" applyBorder="1" applyAlignment="1">
      <alignment vertical="center"/>
    </xf>
    <xf numFmtId="43" fontId="2" fillId="12" borderId="12" xfId="2" applyFont="1" applyFill="1" applyBorder="1" applyAlignment="1">
      <alignment vertical="center"/>
    </xf>
    <xf numFmtId="43" fontId="0" fillId="12" borderId="11" xfId="2" applyFont="1" applyFill="1" applyBorder="1" applyAlignment="1">
      <alignment vertical="center"/>
    </xf>
    <xf numFmtId="43" fontId="0" fillId="12" borderId="12" xfId="2" applyFont="1" applyFill="1" applyBorder="1" applyAlignment="1">
      <alignment vertical="center"/>
    </xf>
    <xf numFmtId="43" fontId="0" fillId="12" borderId="13" xfId="2" applyFont="1" applyFill="1" applyBorder="1" applyAlignment="1">
      <alignment vertical="center"/>
    </xf>
    <xf numFmtId="43" fontId="10" fillId="11" borderId="11" xfId="2" applyFont="1" applyFill="1" applyBorder="1" applyAlignment="1">
      <alignment vertical="center"/>
    </xf>
    <xf numFmtId="43" fontId="10" fillId="11" borderId="12" xfId="2" applyFont="1" applyFill="1" applyBorder="1" applyAlignment="1">
      <alignment vertical="center"/>
    </xf>
    <xf numFmtId="43" fontId="12" fillId="11" borderId="12" xfId="2" applyFont="1" applyFill="1" applyBorder="1" applyAlignment="1">
      <alignment horizontal="center" vertical="center"/>
    </xf>
    <xf numFmtId="43" fontId="20" fillId="11" borderId="12" xfId="2" applyFont="1" applyFill="1" applyBorder="1" applyAlignment="1">
      <alignment horizontal="center" vertical="center"/>
    </xf>
    <xf numFmtId="43" fontId="20" fillId="11" borderId="13" xfId="2" applyFont="1" applyFill="1" applyBorder="1" applyAlignment="1">
      <alignment horizontal="center" vertical="center"/>
    </xf>
    <xf numFmtId="43" fontId="0" fillId="4" borderId="10" xfId="2" applyFont="1" applyFill="1" applyBorder="1" applyAlignment="1">
      <alignment vertical="center"/>
    </xf>
    <xf numFmtId="43" fontId="2" fillId="0" borderId="12" xfId="2" applyFont="1" applyBorder="1" applyAlignment="1">
      <alignment vertical="center"/>
    </xf>
    <xf numFmtId="43" fontId="2" fillId="12" borderId="6" xfId="2" applyFont="1" applyFill="1" applyBorder="1" applyAlignment="1">
      <alignment vertical="center"/>
    </xf>
    <xf numFmtId="0" fontId="0" fillId="11" borderId="5" xfId="0" applyFill="1" applyBorder="1"/>
    <xf numFmtId="0" fontId="0" fillId="11" borderId="6" xfId="0" applyFill="1" applyBorder="1"/>
    <xf numFmtId="0" fontId="0" fillId="11" borderId="7" xfId="0" applyFill="1" applyBorder="1"/>
    <xf numFmtId="0" fontId="0" fillId="11" borderId="8" xfId="0" applyFill="1" applyBorder="1"/>
    <xf numFmtId="0" fontId="0" fillId="11" borderId="9" xfId="0" applyFill="1" applyBorder="1"/>
    <xf numFmtId="0" fontId="0" fillId="11" borderId="11" xfId="0" applyFill="1" applyBorder="1"/>
    <xf numFmtId="0" fontId="0" fillId="11" borderId="12" xfId="0" applyFill="1" applyBorder="1"/>
    <xf numFmtId="0" fontId="0" fillId="11" borderId="13" xfId="0" applyFill="1" applyBorder="1"/>
    <xf numFmtId="43" fontId="0" fillId="4" borderId="121" xfId="2" applyFont="1" applyFill="1" applyBorder="1" applyAlignment="1">
      <alignment vertical="center"/>
    </xf>
    <xf numFmtId="43" fontId="0" fillId="0" borderId="6" xfId="2" applyFont="1" applyFill="1" applyBorder="1" applyAlignment="1">
      <alignment vertical="center"/>
    </xf>
    <xf numFmtId="0" fontId="13" fillId="0" borderId="0" xfId="0" applyFont="1" applyAlignment="1">
      <alignment vertical="center"/>
    </xf>
    <xf numFmtId="43" fontId="6" fillId="4" borderId="0" xfId="2" applyFont="1" applyFill="1" applyBorder="1" applyAlignment="1">
      <alignment horizontal="left" vertical="center"/>
    </xf>
    <xf numFmtId="43" fontId="6" fillId="12" borderId="0" xfId="2" applyFont="1" applyFill="1" applyBorder="1" applyAlignment="1">
      <alignment horizontal="left" vertical="center"/>
    </xf>
    <xf numFmtId="43" fontId="0" fillId="5" borderId="6" xfId="2" applyFont="1" applyFill="1" applyBorder="1" applyAlignment="1">
      <alignment vertical="center"/>
    </xf>
    <xf numFmtId="43" fontId="6" fillId="4" borderId="6" xfId="2" applyFont="1" applyFill="1" applyBorder="1" applyAlignment="1">
      <alignment horizontal="left" vertical="center"/>
    </xf>
    <xf numFmtId="43" fontId="6" fillId="4" borderId="8" xfId="2" applyFont="1" applyFill="1" applyBorder="1" applyAlignment="1">
      <alignment horizontal="left" vertical="center"/>
    </xf>
    <xf numFmtId="43" fontId="6" fillId="4" borderId="126" xfId="2" applyFont="1" applyFill="1" applyBorder="1" applyAlignment="1">
      <alignment horizontal="left" vertical="center"/>
    </xf>
    <xf numFmtId="43" fontId="0" fillId="4" borderId="14" xfId="2" applyFont="1" applyFill="1" applyBorder="1" applyAlignment="1">
      <alignment vertical="center"/>
    </xf>
    <xf numFmtId="43" fontId="6" fillId="12" borderId="6" xfId="2" applyFont="1" applyFill="1" applyBorder="1" applyAlignment="1">
      <alignment horizontal="left" vertical="center"/>
    </xf>
    <xf numFmtId="43" fontId="2" fillId="0" borderId="6" xfId="2" applyFont="1" applyFill="1" applyBorder="1" applyAlignment="1">
      <alignment vertical="center"/>
    </xf>
    <xf numFmtId="43" fontId="6" fillId="12" borderId="12" xfId="2" applyFont="1" applyFill="1" applyBorder="1" applyAlignment="1">
      <alignment horizontal="left" vertical="center"/>
    </xf>
    <xf numFmtId="43" fontId="0" fillId="0" borderId="12" xfId="2" applyFont="1" applyBorder="1" applyAlignment="1">
      <alignment vertical="center"/>
    </xf>
    <xf numFmtId="43" fontId="0" fillId="5" borderId="5" xfId="2" applyFont="1" applyFill="1" applyBorder="1" applyAlignment="1">
      <alignment vertical="center"/>
    </xf>
    <xf numFmtId="43" fontId="2" fillId="5" borderId="6" xfId="2" applyFont="1" applyFill="1" applyBorder="1" applyAlignment="1">
      <alignment vertical="center"/>
    </xf>
    <xf numFmtId="43" fontId="6" fillId="5" borderId="6" xfId="2" applyFont="1" applyFill="1" applyBorder="1" applyAlignment="1">
      <alignment horizontal="left" vertical="center"/>
    </xf>
    <xf numFmtId="43" fontId="0" fillId="5" borderId="7" xfId="2" applyFont="1" applyFill="1" applyBorder="1" applyAlignment="1">
      <alignment vertical="center"/>
    </xf>
    <xf numFmtId="43" fontId="2" fillId="5" borderId="12" xfId="2" applyFont="1" applyFill="1" applyBorder="1" applyAlignment="1">
      <alignment vertical="center"/>
    </xf>
    <xf numFmtId="9" fontId="0" fillId="5" borderId="0" xfId="1" applyFont="1" applyFill="1" applyBorder="1" applyAlignment="1">
      <alignment vertical="center"/>
    </xf>
    <xf numFmtId="9" fontId="0" fillId="5" borderId="6" xfId="1" applyFont="1" applyFill="1" applyBorder="1" applyAlignment="1">
      <alignment vertical="center"/>
    </xf>
    <xf numFmtId="43" fontId="2" fillId="7" borderId="128" xfId="2" applyFont="1" applyFill="1" applyBorder="1" applyAlignment="1">
      <alignment vertical="center"/>
    </xf>
    <xf numFmtId="43" fontId="2" fillId="0" borderId="8" xfId="2" applyFont="1" applyBorder="1" applyAlignment="1">
      <alignment vertical="center"/>
    </xf>
    <xf numFmtId="43" fontId="2" fillId="0" borderId="9" xfId="2" applyFont="1" applyBorder="1" applyAlignment="1">
      <alignment vertical="center"/>
    </xf>
    <xf numFmtId="43" fontId="2" fillId="0" borderId="8" xfId="2" applyFont="1" applyFill="1" applyBorder="1" applyAlignment="1">
      <alignment vertical="center"/>
    </xf>
    <xf numFmtId="43" fontId="2" fillId="0" borderId="9" xfId="2" applyFont="1" applyFill="1" applyBorder="1" applyAlignment="1">
      <alignment vertical="center"/>
    </xf>
    <xf numFmtId="43" fontId="2" fillId="0" borderId="11" xfId="2" applyFont="1" applyFill="1" applyBorder="1" applyAlignment="1">
      <alignment vertical="center"/>
    </xf>
    <xf numFmtId="43" fontId="2" fillId="0" borderId="12" xfId="2" applyFont="1" applyFill="1" applyBorder="1" applyAlignment="1">
      <alignment vertical="center"/>
    </xf>
    <xf numFmtId="43" fontId="2" fillId="0" borderId="13" xfId="2" applyFont="1" applyFill="1" applyBorder="1" applyAlignment="1">
      <alignment vertical="center"/>
    </xf>
    <xf numFmtId="43" fontId="2" fillId="0" borderId="11" xfId="2" applyFont="1" applyBorder="1" applyAlignment="1">
      <alignment vertical="center"/>
    </xf>
    <xf numFmtId="43" fontId="2" fillId="0" borderId="13" xfId="2" applyFont="1" applyBorder="1" applyAlignment="1">
      <alignment vertical="center"/>
    </xf>
    <xf numFmtId="1" fontId="0" fillId="0" borderId="0" xfId="0" applyNumberFormat="1" applyAlignment="1">
      <alignment vertical="center" wrapText="1"/>
    </xf>
    <xf numFmtId="43" fontId="0" fillId="0" borderId="0" xfId="0" applyNumberFormat="1"/>
    <xf numFmtId="0" fontId="6" fillId="0" borderId="0" xfId="0" applyFont="1"/>
    <xf numFmtId="3" fontId="0" fillId="0" borderId="0" xfId="0" applyNumberFormat="1"/>
    <xf numFmtId="14" fontId="0" fillId="0" borderId="0" xfId="0" applyNumberFormat="1"/>
    <xf numFmtId="43" fontId="0" fillId="4" borderId="130" xfId="2" applyFont="1" applyFill="1" applyBorder="1" applyAlignment="1">
      <alignment vertical="center"/>
    </xf>
    <xf numFmtId="43" fontId="2" fillId="7" borderId="93" xfId="2" applyFont="1" applyFill="1" applyBorder="1" applyAlignment="1">
      <alignment vertical="center"/>
    </xf>
    <xf numFmtId="43" fontId="0" fillId="5" borderId="129" xfId="2" applyFont="1" applyFill="1" applyBorder="1" applyAlignment="1">
      <alignment vertical="center"/>
    </xf>
    <xf numFmtId="0" fontId="0" fillId="11" borderId="0" xfId="0" applyFill="1"/>
    <xf numFmtId="43" fontId="0" fillId="0" borderId="0" xfId="2" applyFont="1" applyFill="1"/>
    <xf numFmtId="43" fontId="2" fillId="6" borderId="0" xfId="2" applyFont="1" applyFill="1" applyAlignment="1">
      <alignment vertical="center"/>
    </xf>
    <xf numFmtId="43" fontId="0" fillId="5" borderId="97" xfId="2" applyFont="1" applyFill="1" applyBorder="1" applyAlignment="1">
      <alignment vertical="center"/>
    </xf>
    <xf numFmtId="43" fontId="0" fillId="5" borderId="2" xfId="2" applyFont="1" applyFill="1" applyBorder="1" applyAlignment="1">
      <alignment vertical="center"/>
    </xf>
    <xf numFmtId="43" fontId="0" fillId="0" borderId="52" xfId="2" applyFont="1" applyBorder="1" applyAlignment="1">
      <alignment vertical="center"/>
    </xf>
    <xf numFmtId="43" fontId="2" fillId="5" borderId="31" xfId="2" applyFont="1" applyFill="1" applyBorder="1" applyAlignment="1">
      <alignment vertical="center"/>
    </xf>
    <xf numFmtId="43" fontId="5" fillId="12" borderId="31" xfId="2" applyFont="1" applyFill="1" applyBorder="1" applyAlignment="1">
      <alignment vertical="center"/>
    </xf>
    <xf numFmtId="43" fontId="5" fillId="12" borderId="31" xfId="2" applyFont="1" applyFill="1" applyBorder="1" applyAlignment="1">
      <alignment horizontal="center" vertical="center"/>
    </xf>
    <xf numFmtId="43" fontId="2" fillId="5" borderId="2" xfId="2" applyFont="1" applyFill="1" applyBorder="1" applyAlignment="1">
      <alignment vertical="center"/>
    </xf>
    <xf numFmtId="0" fontId="0" fillId="4" borderId="5" xfId="0" applyFill="1" applyBorder="1"/>
    <xf numFmtId="0" fontId="0" fillId="4" borderId="7" xfId="0" applyFill="1" applyBorder="1"/>
    <xf numFmtId="0" fontId="0" fillId="4" borderId="8" xfId="0" applyFill="1" applyBorder="1"/>
    <xf numFmtId="0" fontId="0" fillId="4" borderId="9" xfId="0" applyFill="1" applyBorder="1"/>
    <xf numFmtId="0" fontId="0" fillId="4" borderId="11" xfId="0" applyFill="1" applyBorder="1"/>
    <xf numFmtId="0" fontId="0" fillId="4" borderId="13" xfId="0" applyFill="1" applyBorder="1"/>
    <xf numFmtId="0" fontId="5" fillId="11" borderId="0" xfId="0" applyFont="1" applyFill="1" applyAlignment="1">
      <alignment vertical="center"/>
    </xf>
    <xf numFmtId="0" fontId="0" fillId="5" borderId="5" xfId="0" applyFill="1" applyBorder="1"/>
    <xf numFmtId="0" fontId="0" fillId="5" borderId="6" xfId="0" applyFill="1" applyBorder="1"/>
    <xf numFmtId="0" fontId="0" fillId="5" borderId="7" xfId="0" applyFill="1" applyBorder="1"/>
    <xf numFmtId="0" fontId="5" fillId="11" borderId="0" xfId="0" applyFont="1" applyFill="1"/>
    <xf numFmtId="43" fontId="0" fillId="11" borderId="6" xfId="0" applyNumberFormat="1" applyFill="1" applyBorder="1"/>
    <xf numFmtId="43" fontId="0" fillId="11" borderId="0" xfId="0" applyNumberFormat="1" applyFill="1"/>
    <xf numFmtId="0" fontId="6" fillId="11" borderId="13" xfId="0" applyFont="1" applyFill="1" applyBorder="1"/>
    <xf numFmtId="43" fontId="0" fillId="11" borderId="6" xfId="2" applyFont="1" applyFill="1" applyBorder="1"/>
    <xf numFmtId="43" fontId="5" fillId="11" borderId="0" xfId="2" applyFont="1" applyFill="1" applyBorder="1"/>
    <xf numFmtId="43" fontId="0" fillId="11" borderId="12" xfId="2" applyFont="1" applyFill="1" applyBorder="1"/>
    <xf numFmtId="0" fontId="0" fillId="0" borderId="9" xfId="0" applyBorder="1"/>
    <xf numFmtId="0" fontId="0" fillId="5" borderId="93" xfId="0" applyFill="1" applyBorder="1"/>
    <xf numFmtId="0" fontId="0" fillId="0" borderId="8" xfId="0" applyBorder="1"/>
    <xf numFmtId="0" fontId="6" fillId="5" borderId="0" xfId="0" applyFont="1" applyFill="1"/>
    <xf numFmtId="0" fontId="6" fillId="6" borderId="0" xfId="0" applyFont="1" applyFill="1"/>
    <xf numFmtId="0" fontId="6" fillId="5" borderId="12" xfId="0" applyFont="1" applyFill="1" applyBorder="1"/>
    <xf numFmtId="43" fontId="6" fillId="5" borderId="0" xfId="2" applyFont="1" applyFill="1" applyBorder="1"/>
    <xf numFmtId="43" fontId="2" fillId="0" borderId="93" xfId="2" applyFont="1" applyBorder="1" applyAlignment="1">
      <alignment vertical="center"/>
    </xf>
    <xf numFmtId="43" fontId="2" fillId="0" borderId="165" xfId="2" applyFont="1" applyBorder="1" applyAlignment="1">
      <alignment vertical="center"/>
    </xf>
    <xf numFmtId="43" fontId="11" fillId="12" borderId="12" xfId="2" applyFont="1" applyFill="1" applyBorder="1" applyAlignment="1">
      <alignment vertical="center"/>
    </xf>
    <xf numFmtId="43" fontId="0" fillId="5" borderId="6" xfId="2" applyFont="1" applyFill="1" applyBorder="1"/>
    <xf numFmtId="43" fontId="1" fillId="2" borderId="2" xfId="2" applyFont="1" applyFill="1" applyBorder="1" applyAlignment="1">
      <alignment horizontal="center" vertical="center"/>
    </xf>
    <xf numFmtId="43" fontId="12" fillId="0" borderId="0" xfId="2" applyFont="1" applyFill="1" applyBorder="1" applyAlignment="1">
      <alignment horizontal="center" vertical="center"/>
    </xf>
    <xf numFmtId="43" fontId="2" fillId="0" borderId="5" xfId="2" applyFont="1" applyBorder="1" applyAlignment="1">
      <alignment vertical="center"/>
    </xf>
    <xf numFmtId="43" fontId="11" fillId="0" borderId="0" xfId="2" applyFont="1" applyFill="1" applyBorder="1" applyAlignment="1">
      <alignment vertical="center" wrapText="1"/>
    </xf>
    <xf numFmtId="43" fontId="22" fillId="3" borderId="5" xfId="2" applyFont="1" applyFill="1" applyBorder="1" applyAlignment="1">
      <alignment vertical="center"/>
    </xf>
    <xf numFmtId="43" fontId="2" fillId="3" borderId="6" xfId="2" applyFont="1" applyFill="1" applyBorder="1" applyAlignment="1">
      <alignment vertical="center"/>
    </xf>
    <xf numFmtId="43" fontId="2" fillId="0" borderId="7" xfId="2" applyFont="1" applyBorder="1" applyAlignment="1">
      <alignment vertical="center"/>
    </xf>
    <xf numFmtId="43" fontId="22" fillId="3" borderId="8" xfId="2" applyFont="1" applyFill="1" applyBorder="1" applyAlignment="1">
      <alignment vertical="center"/>
    </xf>
    <xf numFmtId="43" fontId="2" fillId="3" borderId="0" xfId="2" applyFont="1" applyFill="1" applyBorder="1" applyAlignment="1">
      <alignment vertical="center"/>
    </xf>
    <xf numFmtId="43" fontId="2" fillId="3" borderId="8" xfId="2" applyFont="1" applyFill="1" applyBorder="1" applyAlignment="1">
      <alignment vertical="center"/>
    </xf>
    <xf numFmtId="43" fontId="1" fillId="3" borderId="8" xfId="2" applyFont="1" applyFill="1" applyBorder="1" applyAlignment="1">
      <alignment vertical="center"/>
    </xf>
    <xf numFmtId="43" fontId="1" fillId="3" borderId="0" xfId="2" applyFont="1" applyFill="1" applyBorder="1" applyAlignment="1">
      <alignment vertical="center"/>
    </xf>
    <xf numFmtId="43" fontId="11" fillId="0" borderId="0" xfId="2" applyFont="1" applyBorder="1" applyAlignment="1">
      <alignment vertical="center"/>
    </xf>
    <xf numFmtId="43" fontId="1" fillId="2" borderId="153" xfId="2" applyFont="1" applyFill="1" applyBorder="1" applyAlignment="1">
      <alignment vertical="center"/>
    </xf>
    <xf numFmtId="43" fontId="1" fillId="2" borderId="153" xfId="2" applyFont="1" applyFill="1" applyBorder="1" applyAlignment="1">
      <alignment horizontal="left" vertical="center"/>
    </xf>
    <xf numFmtId="43" fontId="17" fillId="3" borderId="0" xfId="2" applyFont="1" applyFill="1" applyBorder="1" applyAlignment="1">
      <alignment vertical="center"/>
    </xf>
    <xf numFmtId="43" fontId="1" fillId="2" borderId="153" xfId="2" applyFont="1" applyFill="1" applyBorder="1" applyAlignment="1">
      <alignment horizontal="left" vertical="center" wrapText="1"/>
    </xf>
    <xf numFmtId="43" fontId="1" fillId="3" borderId="0" xfId="2" applyFont="1" applyFill="1" applyBorder="1" applyAlignment="1">
      <alignment horizontal="left" vertical="center" wrapText="1"/>
    </xf>
    <xf numFmtId="43" fontId="1" fillId="3" borderId="0" xfId="2" applyFont="1" applyFill="1" applyBorder="1" applyAlignment="1">
      <alignment horizontal="left" vertical="center"/>
    </xf>
    <xf numFmtId="43" fontId="1" fillId="3" borderId="9" xfId="2" applyFont="1" applyFill="1" applyBorder="1" applyAlignment="1">
      <alignment vertical="center"/>
    </xf>
    <xf numFmtId="43" fontId="2" fillId="3" borderId="9" xfId="2" applyFont="1" applyFill="1" applyBorder="1" applyAlignment="1">
      <alignment vertical="center"/>
    </xf>
    <xf numFmtId="43" fontId="2" fillId="0" borderId="8" xfId="2" applyFont="1" applyBorder="1" applyAlignment="1">
      <alignment vertical="center" wrapText="1"/>
    </xf>
    <xf numFmtId="43" fontId="1" fillId="2" borderId="153" xfId="2" applyFont="1" applyFill="1" applyBorder="1" applyAlignment="1">
      <alignment horizontal="center" vertical="center"/>
    </xf>
    <xf numFmtId="43" fontId="1" fillId="3" borderId="0" xfId="2" applyFont="1" applyFill="1" applyBorder="1" applyAlignment="1">
      <alignment horizontal="center" vertical="center"/>
    </xf>
    <xf numFmtId="43" fontId="1" fillId="2" borderId="8" xfId="2" applyFont="1" applyFill="1" applyBorder="1" applyAlignment="1">
      <alignment vertical="center"/>
    </xf>
    <xf numFmtId="43" fontId="5" fillId="0" borderId="0" xfId="2" applyFont="1" applyBorder="1" applyAlignment="1">
      <alignment vertical="center"/>
    </xf>
    <xf numFmtId="43" fontId="11" fillId="0" borderId="11" xfId="2" applyFont="1" applyFill="1" applyBorder="1" applyAlignment="1">
      <alignment horizontal="right" vertical="center"/>
    </xf>
    <xf numFmtId="43" fontId="11" fillId="0" borderId="7" xfId="2" applyFont="1" applyBorder="1" applyAlignment="1">
      <alignment vertical="center"/>
    </xf>
    <xf numFmtId="43" fontId="11" fillId="0" borderId="9" xfId="2" applyFont="1" applyBorder="1" applyAlignment="1">
      <alignment vertical="center"/>
    </xf>
    <xf numFmtId="43" fontId="11" fillId="0" borderId="13" xfId="2" applyFont="1" applyBorder="1" applyAlignment="1">
      <alignment vertical="center"/>
    </xf>
    <xf numFmtId="43" fontId="2" fillId="0" borderId="5" xfId="2" applyFont="1" applyBorder="1" applyAlignment="1">
      <alignment vertical="center" wrapText="1"/>
    </xf>
    <xf numFmtId="43" fontId="11" fillId="0" borderId="6" xfId="2" applyFont="1" applyFill="1" applyBorder="1" applyAlignment="1">
      <alignment vertical="center"/>
    </xf>
    <xf numFmtId="43" fontId="11" fillId="0" borderId="7" xfId="2" applyFont="1" applyFill="1" applyBorder="1" applyAlignment="1">
      <alignment vertical="center"/>
    </xf>
    <xf numFmtId="43" fontId="11" fillId="0" borderId="9" xfId="2" applyFont="1" applyFill="1" applyBorder="1" applyAlignment="1">
      <alignment vertical="center"/>
    </xf>
    <xf numFmtId="43" fontId="2" fillId="0" borderId="11" xfId="2" applyFont="1" applyBorder="1" applyAlignment="1">
      <alignment vertical="center" wrapText="1"/>
    </xf>
    <xf numFmtId="43" fontId="11" fillId="0" borderId="12" xfId="2" applyFont="1" applyFill="1" applyBorder="1" applyAlignment="1">
      <alignment vertical="center"/>
    </xf>
    <xf numFmtId="43" fontId="11" fillId="0" borderId="13" xfId="2" applyFont="1" applyFill="1" applyBorder="1" applyAlignment="1">
      <alignment vertical="center"/>
    </xf>
    <xf numFmtId="43" fontId="1" fillId="3" borderId="11" xfId="2" applyFont="1" applyFill="1" applyBorder="1" applyAlignment="1">
      <alignment vertical="center"/>
    </xf>
    <xf numFmtId="43" fontId="11" fillId="0" borderId="6" xfId="2" applyFont="1" applyBorder="1" applyAlignment="1">
      <alignment vertical="center"/>
    </xf>
    <xf numFmtId="43" fontId="2" fillId="0" borderId="102" xfId="2" applyFont="1" applyBorder="1" applyAlignment="1">
      <alignment vertical="center"/>
    </xf>
    <xf numFmtId="43" fontId="2" fillId="0" borderId="155" xfId="2" applyFont="1" applyFill="1" applyBorder="1" applyAlignment="1">
      <alignment vertical="center"/>
    </xf>
    <xf numFmtId="43" fontId="2" fillId="0" borderId="85" xfId="2" applyFont="1" applyFill="1" applyBorder="1" applyAlignment="1">
      <alignment vertical="center"/>
    </xf>
    <xf numFmtId="43" fontId="2" fillId="0" borderId="156" xfId="2" applyFont="1" applyFill="1" applyBorder="1" applyAlignment="1">
      <alignment vertical="center"/>
    </xf>
    <xf numFmtId="43" fontId="1" fillId="3" borderId="7" xfId="2" applyFont="1" applyFill="1" applyBorder="1" applyAlignment="1">
      <alignment vertical="center"/>
    </xf>
    <xf numFmtId="43" fontId="2" fillId="0" borderId="5" xfId="2" applyFont="1" applyFill="1" applyBorder="1" applyAlignment="1">
      <alignment vertical="center"/>
    </xf>
    <xf numFmtId="43" fontId="11" fillId="0" borderId="6" xfId="2" applyFont="1" applyFill="1" applyBorder="1" applyAlignment="1">
      <alignment horizontal="center" vertical="center"/>
    </xf>
    <xf numFmtId="43" fontId="11" fillId="0" borderId="12" xfId="2" applyFont="1" applyFill="1" applyBorder="1" applyAlignment="1">
      <alignment horizontal="center" vertical="center"/>
    </xf>
    <xf numFmtId="43" fontId="2" fillId="0" borderId="155" xfId="2" applyFont="1" applyBorder="1" applyAlignment="1">
      <alignment vertical="center"/>
    </xf>
    <xf numFmtId="43" fontId="2" fillId="0" borderId="85" xfId="2" applyFont="1" applyBorder="1" applyAlignment="1">
      <alignment vertical="center"/>
    </xf>
    <xf numFmtId="0" fontId="0" fillId="0" borderId="11" xfId="0" applyBorder="1"/>
    <xf numFmtId="0" fontId="0" fillId="0" borderId="12" xfId="0" applyBorder="1"/>
    <xf numFmtId="43" fontId="2" fillId="0" borderId="156" xfId="2" applyFont="1" applyBorder="1" applyAlignment="1">
      <alignment vertical="center"/>
    </xf>
    <xf numFmtId="43" fontId="11" fillId="0" borderId="111" xfId="2" applyFont="1" applyFill="1" applyBorder="1" applyAlignment="1">
      <alignment horizontal="right" vertical="center"/>
    </xf>
    <xf numFmtId="43" fontId="11" fillId="0" borderId="12" xfId="2" applyFont="1" applyBorder="1" applyAlignment="1">
      <alignment vertical="center"/>
    </xf>
    <xf numFmtId="43" fontId="11" fillId="0" borderId="8" xfId="2" applyFont="1" applyFill="1" applyBorder="1" applyAlignment="1">
      <alignment horizontal="left" vertical="center"/>
    </xf>
    <xf numFmtId="10" fontId="2" fillId="0" borderId="0" xfId="2" applyNumberFormat="1" applyFont="1" applyBorder="1" applyAlignment="1">
      <alignment vertical="center"/>
    </xf>
    <xf numFmtId="43" fontId="0" fillId="0" borderId="9" xfId="2" applyFont="1" applyFill="1" applyBorder="1" applyAlignment="1">
      <alignment vertical="center"/>
    </xf>
    <xf numFmtId="43" fontId="11" fillId="0" borderId="5" xfId="2" applyFont="1" applyFill="1" applyBorder="1" applyAlignment="1">
      <alignment horizontal="left" vertical="center"/>
    </xf>
    <xf numFmtId="10" fontId="2" fillId="0" borderId="6" xfId="2" applyNumberFormat="1" applyFont="1" applyBorder="1" applyAlignment="1">
      <alignment vertical="center"/>
    </xf>
    <xf numFmtId="43" fontId="1" fillId="0" borderId="8" xfId="2" applyFont="1" applyFill="1" applyBorder="1" applyAlignment="1">
      <alignment vertical="center"/>
    </xf>
    <xf numFmtId="43" fontId="1" fillId="3" borderId="155" xfId="2" applyFont="1" applyFill="1" applyBorder="1" applyAlignment="1">
      <alignment vertical="center"/>
    </xf>
    <xf numFmtId="43" fontId="6" fillId="4" borderId="11" xfId="2" applyFont="1" applyFill="1" applyBorder="1" applyAlignment="1">
      <alignment vertical="center"/>
    </xf>
    <xf numFmtId="43" fontId="0" fillId="4" borderId="182" xfId="2" applyFont="1" applyFill="1" applyBorder="1" applyAlignment="1">
      <alignment vertical="center"/>
    </xf>
    <xf numFmtId="43" fontId="0" fillId="4" borderId="183" xfId="2" applyFont="1" applyFill="1" applyBorder="1" applyAlignment="1">
      <alignment vertical="center"/>
    </xf>
    <xf numFmtId="43" fontId="0" fillId="4" borderId="184" xfId="2" applyFont="1" applyFill="1" applyBorder="1" applyAlignment="1">
      <alignment vertical="center"/>
    </xf>
    <xf numFmtId="3" fontId="0" fillId="0" borderId="9" xfId="0" applyNumberFormat="1" applyBorder="1"/>
    <xf numFmtId="43" fontId="26" fillId="12" borderId="12" xfId="2" applyFont="1" applyFill="1" applyBorder="1" applyAlignment="1">
      <alignment horizontal="center" vertical="center"/>
    </xf>
    <xf numFmtId="43" fontId="0" fillId="4" borderId="15" xfId="2" applyFont="1" applyFill="1" applyBorder="1" applyAlignment="1">
      <alignment vertical="center"/>
    </xf>
    <xf numFmtId="43" fontId="1" fillId="2" borderId="0" xfId="2" applyFont="1" applyFill="1" applyBorder="1" applyAlignment="1">
      <alignment horizontal="left" vertical="center"/>
    </xf>
    <xf numFmtId="43" fontId="11" fillId="0" borderId="165" xfId="2" applyFont="1" applyFill="1" applyBorder="1" applyAlignment="1">
      <alignment horizontal="right" vertical="center"/>
    </xf>
    <xf numFmtId="43" fontId="2" fillId="3" borderId="7" xfId="2" applyFont="1" applyFill="1" applyBorder="1" applyAlignment="1">
      <alignment vertical="center"/>
    </xf>
    <xf numFmtId="43" fontId="1" fillId="3" borderId="5" xfId="2" applyFont="1" applyFill="1" applyBorder="1" applyAlignment="1">
      <alignment vertical="center"/>
    </xf>
    <xf numFmtId="43" fontId="25" fillId="12" borderId="0" xfId="2" applyFont="1" applyFill="1" applyBorder="1" applyAlignment="1">
      <alignment vertical="center"/>
    </xf>
    <xf numFmtId="43" fontId="0" fillId="4" borderId="166" xfId="2" applyFont="1" applyFill="1" applyBorder="1" applyAlignment="1" applyProtection="1">
      <alignment horizontal="right" vertical="center"/>
      <protection locked="0"/>
    </xf>
    <xf numFmtId="43" fontId="0" fillId="4" borderId="64" xfId="2" applyFont="1" applyFill="1" applyBorder="1" applyAlignment="1" applyProtection="1">
      <alignment horizontal="right" vertical="center"/>
      <protection locked="0"/>
    </xf>
    <xf numFmtId="43" fontId="0" fillId="4" borderId="66" xfId="2" applyFont="1" applyFill="1" applyBorder="1" applyAlignment="1" applyProtection="1">
      <alignment horizontal="right" vertical="center"/>
      <protection locked="0"/>
    </xf>
    <xf numFmtId="43" fontId="0" fillId="9" borderId="68" xfId="2" applyFont="1" applyFill="1" applyBorder="1" applyAlignment="1" applyProtection="1">
      <alignment vertical="center"/>
      <protection locked="0"/>
    </xf>
    <xf numFmtId="43" fontId="0" fillId="9" borderId="2" xfId="2" applyFont="1" applyFill="1" applyBorder="1" applyAlignment="1" applyProtection="1">
      <alignment vertical="center"/>
      <protection locked="0"/>
    </xf>
    <xf numFmtId="43" fontId="0" fillId="9" borderId="69" xfId="2" applyFont="1" applyFill="1" applyBorder="1" applyAlignment="1" applyProtection="1">
      <alignment vertical="center"/>
      <protection locked="0"/>
    </xf>
    <xf numFmtId="43" fontId="0" fillId="9" borderId="192" xfId="2" applyFont="1" applyFill="1" applyBorder="1" applyAlignment="1" applyProtection="1">
      <alignment vertical="center"/>
      <protection locked="0"/>
    </xf>
    <xf numFmtId="43" fontId="0" fillId="9" borderId="70" xfId="2" applyFont="1" applyFill="1" applyBorder="1" applyAlignment="1" applyProtection="1">
      <alignment vertical="center"/>
      <protection locked="0"/>
    </xf>
    <xf numFmtId="43" fontId="0" fillId="4" borderId="24" xfId="2" applyFont="1" applyFill="1" applyBorder="1" applyAlignment="1" applyProtection="1">
      <alignment vertical="center" wrapText="1"/>
      <protection locked="0"/>
    </xf>
    <xf numFmtId="43" fontId="0" fillId="9" borderId="71" xfId="2" applyFont="1" applyFill="1" applyBorder="1" applyAlignment="1" applyProtection="1">
      <alignment vertical="center"/>
      <protection locked="0"/>
    </xf>
    <xf numFmtId="43" fontId="0" fillId="9" borderId="46" xfId="2" applyFont="1" applyFill="1" applyBorder="1" applyAlignment="1" applyProtection="1">
      <alignment vertical="center"/>
      <protection locked="0"/>
    </xf>
    <xf numFmtId="43" fontId="0" fillId="9" borderId="11" xfId="2" applyFont="1" applyFill="1" applyBorder="1" applyAlignment="1" applyProtection="1">
      <alignment vertical="center"/>
      <protection locked="0"/>
    </xf>
    <xf numFmtId="43" fontId="0" fillId="9" borderId="41" xfId="2" applyFont="1" applyFill="1" applyBorder="1" applyAlignment="1" applyProtection="1">
      <alignment vertical="center"/>
      <protection locked="0"/>
    </xf>
    <xf numFmtId="43" fontId="0" fillId="9" borderId="39" xfId="2" applyFont="1" applyFill="1" applyBorder="1" applyAlignment="1" applyProtection="1">
      <alignment vertical="center"/>
      <protection locked="0"/>
    </xf>
    <xf numFmtId="43" fontId="0" fillId="9" borderId="40" xfId="2" applyFont="1" applyFill="1" applyBorder="1" applyAlignment="1" applyProtection="1">
      <alignment vertical="center"/>
      <protection locked="0"/>
    </xf>
    <xf numFmtId="43" fontId="0" fillId="9" borderId="50" xfId="2" applyFont="1" applyFill="1" applyBorder="1" applyAlignment="1" applyProtection="1">
      <alignment vertical="center"/>
      <protection locked="0"/>
    </xf>
    <xf numFmtId="43" fontId="0" fillId="4" borderId="122" xfId="2" applyFont="1" applyFill="1" applyBorder="1" applyAlignment="1" applyProtection="1">
      <alignment vertical="center"/>
      <protection locked="0"/>
    </xf>
    <xf numFmtId="43" fontId="0" fillId="9" borderId="84" xfId="2" applyFont="1" applyFill="1" applyBorder="1" applyAlignment="1" applyProtection="1">
      <alignment vertical="center"/>
      <protection locked="0"/>
    </xf>
    <xf numFmtId="43" fontId="0" fillId="9" borderId="171" xfId="2" applyFont="1" applyFill="1" applyBorder="1" applyAlignment="1" applyProtection="1">
      <alignment vertical="center"/>
      <protection locked="0"/>
    </xf>
    <xf numFmtId="43" fontId="0" fillId="9" borderId="7" xfId="2" applyFont="1" applyFill="1" applyBorder="1" applyAlignment="1" applyProtection="1">
      <alignment vertical="center"/>
      <protection locked="0"/>
    </xf>
    <xf numFmtId="43" fontId="0" fillId="4" borderId="179" xfId="2" applyFont="1" applyFill="1" applyBorder="1" applyAlignment="1" applyProtection="1">
      <alignment vertical="center"/>
      <protection locked="0"/>
    </xf>
    <xf numFmtId="43" fontId="0" fillId="9" borderId="82" xfId="2" applyFont="1" applyFill="1" applyBorder="1" applyAlignment="1" applyProtection="1">
      <alignment vertical="center"/>
      <protection locked="0"/>
    </xf>
    <xf numFmtId="43" fontId="0" fillId="9" borderId="181" xfId="2" applyFont="1" applyFill="1" applyBorder="1" applyAlignment="1" applyProtection="1">
      <alignment vertical="center"/>
      <protection locked="0"/>
    </xf>
    <xf numFmtId="43" fontId="0" fillId="4" borderId="123" xfId="2" applyFont="1" applyFill="1" applyBorder="1" applyAlignment="1" applyProtection="1">
      <alignment vertical="center"/>
      <protection locked="0"/>
    </xf>
    <xf numFmtId="43" fontId="0" fillId="9" borderId="127" xfId="2" applyFont="1" applyFill="1" applyBorder="1" applyAlignment="1" applyProtection="1">
      <alignment vertical="center"/>
      <protection locked="0"/>
    </xf>
    <xf numFmtId="43" fontId="0" fillId="4" borderId="180" xfId="2" applyFont="1" applyFill="1" applyBorder="1" applyAlignment="1" applyProtection="1">
      <alignment vertical="center"/>
      <protection locked="0"/>
    </xf>
    <xf numFmtId="43" fontId="0" fillId="9" borderId="124" xfId="2" applyFont="1" applyFill="1" applyBorder="1" applyAlignment="1" applyProtection="1">
      <alignment vertical="center"/>
      <protection locked="0"/>
    </xf>
    <xf numFmtId="43" fontId="0" fillId="9" borderId="13" xfId="2" applyFont="1" applyFill="1" applyBorder="1" applyAlignment="1" applyProtection="1">
      <alignment vertical="center"/>
      <protection locked="0"/>
    </xf>
    <xf numFmtId="43" fontId="0" fillId="9" borderId="41" xfId="2" applyFont="1" applyFill="1" applyBorder="1" applyAlignment="1" applyProtection="1">
      <alignment vertical="center" wrapText="1"/>
      <protection locked="0"/>
    </xf>
    <xf numFmtId="43" fontId="0" fillId="9" borderId="59" xfId="2" applyFont="1" applyFill="1" applyBorder="1" applyAlignment="1" applyProtection="1">
      <alignment horizontal="right" vertical="center"/>
      <protection locked="0"/>
    </xf>
    <xf numFmtId="0" fontId="18" fillId="8" borderId="86" xfId="3" applyBorder="1" applyProtection="1">
      <protection locked="0"/>
    </xf>
    <xf numFmtId="43" fontId="0" fillId="9" borderId="0" xfId="2" applyFont="1" applyFill="1" applyAlignment="1" applyProtection="1">
      <alignment vertical="center"/>
      <protection locked="0"/>
    </xf>
    <xf numFmtId="43" fontId="0" fillId="9" borderId="43" xfId="2" applyFont="1" applyFill="1" applyBorder="1" applyAlignment="1" applyProtection="1">
      <alignment vertical="center"/>
      <protection locked="0"/>
    </xf>
    <xf numFmtId="43" fontId="0" fillId="9" borderId="44" xfId="2" applyFont="1" applyFill="1" applyBorder="1" applyAlignment="1" applyProtection="1">
      <alignment vertical="center" wrapText="1"/>
      <protection locked="0"/>
    </xf>
    <xf numFmtId="43" fontId="0" fillId="9" borderId="76" xfId="2" applyFont="1" applyFill="1" applyBorder="1" applyAlignment="1" applyProtection="1">
      <alignment horizontal="right" vertical="center"/>
      <protection locked="0"/>
    </xf>
    <xf numFmtId="0" fontId="10" fillId="9" borderId="82" xfId="0" applyFont="1" applyFill="1" applyBorder="1" applyProtection="1">
      <protection locked="0"/>
    </xf>
    <xf numFmtId="0" fontId="0" fillId="9" borderId="80" xfId="0" applyFill="1" applyBorder="1" applyProtection="1">
      <protection locked="0"/>
    </xf>
    <xf numFmtId="43" fontId="0" fillId="9" borderId="116" xfId="2" applyFont="1" applyFill="1" applyBorder="1" applyAlignment="1" applyProtection="1">
      <alignment vertical="center"/>
      <protection locked="0"/>
    </xf>
    <xf numFmtId="43" fontId="0" fillId="9" borderId="56" xfId="2" applyFont="1" applyFill="1" applyBorder="1" applyAlignment="1" applyProtection="1">
      <alignment vertical="center"/>
      <protection locked="0"/>
    </xf>
    <xf numFmtId="43" fontId="0" fillId="9" borderId="26" xfId="2" applyFont="1" applyFill="1" applyBorder="1" applyAlignment="1" applyProtection="1">
      <alignment vertical="center"/>
      <protection locked="0"/>
    </xf>
    <xf numFmtId="43" fontId="0" fillId="9" borderId="29" xfId="2" applyFont="1" applyFill="1" applyBorder="1" applyAlignment="1" applyProtection="1">
      <alignment vertical="center" wrapText="1"/>
      <protection locked="0"/>
    </xf>
    <xf numFmtId="43" fontId="0" fillId="9" borderId="79" xfId="2" applyFont="1" applyFill="1" applyBorder="1" applyAlignment="1" applyProtection="1">
      <alignment horizontal="right" vertical="center"/>
      <protection locked="0"/>
    </xf>
    <xf numFmtId="43" fontId="0" fillId="9" borderId="79" xfId="2" applyFont="1" applyFill="1" applyBorder="1" applyAlignment="1" applyProtection="1">
      <alignment vertical="center"/>
      <protection locked="0"/>
    </xf>
    <xf numFmtId="0" fontId="0" fillId="9" borderId="78" xfId="0" applyFill="1" applyBorder="1" applyProtection="1">
      <protection locked="0"/>
    </xf>
    <xf numFmtId="43" fontId="0" fillId="9" borderId="117" xfId="2" applyFont="1" applyFill="1" applyBorder="1" applyAlignment="1" applyProtection="1">
      <alignment vertical="center"/>
      <protection locked="0"/>
    </xf>
    <xf numFmtId="43" fontId="0" fillId="9" borderId="48" xfId="2" applyFont="1" applyFill="1" applyBorder="1" applyAlignment="1" applyProtection="1">
      <alignment vertical="center"/>
      <protection locked="0"/>
    </xf>
    <xf numFmtId="43" fontId="0" fillId="9" borderId="50" xfId="2" applyFont="1" applyFill="1" applyBorder="1" applyAlignment="1" applyProtection="1">
      <alignment vertical="center" wrapText="1"/>
      <protection locked="0"/>
    </xf>
    <xf numFmtId="43" fontId="0" fillId="9" borderId="53" xfId="2" applyFont="1" applyFill="1" applyBorder="1" applyAlignment="1" applyProtection="1">
      <alignment vertical="center"/>
      <protection locked="0"/>
    </xf>
    <xf numFmtId="0" fontId="0" fillId="9" borderId="160" xfId="0" applyFill="1" applyBorder="1" applyProtection="1">
      <protection locked="0"/>
    </xf>
    <xf numFmtId="43" fontId="0" fillId="9" borderId="164" xfId="2" applyFont="1" applyFill="1" applyBorder="1" applyAlignment="1" applyProtection="1">
      <alignment vertical="center"/>
      <protection locked="0"/>
    </xf>
    <xf numFmtId="43" fontId="0" fillId="9" borderId="54" xfId="2" applyFont="1" applyFill="1" applyBorder="1" applyAlignment="1" applyProtection="1">
      <alignment vertical="center"/>
      <protection locked="0"/>
    </xf>
    <xf numFmtId="0" fontId="10" fillId="9" borderId="83" xfId="0" applyFont="1" applyFill="1" applyBorder="1" applyProtection="1">
      <protection locked="0"/>
    </xf>
    <xf numFmtId="43" fontId="0" fillId="9" borderId="25" xfId="2" applyFont="1" applyFill="1" applyBorder="1" applyAlignment="1" applyProtection="1">
      <alignment vertical="center"/>
      <protection locked="0"/>
    </xf>
    <xf numFmtId="43" fontId="0" fillId="9" borderId="29" xfId="2" applyFont="1" applyFill="1" applyBorder="1" applyAlignment="1" applyProtection="1">
      <alignment vertical="center"/>
      <protection locked="0"/>
    </xf>
    <xf numFmtId="43" fontId="0" fillId="9" borderId="27" xfId="2" applyFont="1" applyFill="1" applyBorder="1" applyAlignment="1" applyProtection="1">
      <alignment vertical="center"/>
      <protection locked="0"/>
    </xf>
    <xf numFmtId="43" fontId="0" fillId="9" borderId="23" xfId="2" applyFont="1" applyFill="1" applyBorder="1" applyAlignment="1" applyProtection="1">
      <alignment vertical="center"/>
      <protection locked="0"/>
    </xf>
    <xf numFmtId="43" fontId="0" fillId="4" borderId="194" xfId="2" applyFont="1" applyFill="1" applyBorder="1" applyAlignment="1" applyProtection="1">
      <alignment vertical="center"/>
      <protection locked="0"/>
    </xf>
    <xf numFmtId="43" fontId="0" fillId="9" borderId="101" xfId="2" applyFont="1" applyFill="1" applyBorder="1" applyAlignment="1" applyProtection="1">
      <alignment vertical="center"/>
      <protection locked="0"/>
    </xf>
    <xf numFmtId="43" fontId="0" fillId="4" borderId="147" xfId="2" applyFont="1" applyFill="1" applyBorder="1" applyAlignment="1" applyProtection="1">
      <alignment vertical="center"/>
      <protection locked="0"/>
    </xf>
    <xf numFmtId="43" fontId="0" fillId="9" borderId="81" xfId="2" applyFont="1" applyFill="1" applyBorder="1" applyAlignment="1" applyProtection="1">
      <alignment vertical="center"/>
      <protection locked="0"/>
    </xf>
    <xf numFmtId="43" fontId="0" fillId="9" borderId="9" xfId="2" applyFont="1" applyFill="1" applyBorder="1" applyAlignment="1" applyProtection="1">
      <alignment vertical="center"/>
      <protection locked="0"/>
    </xf>
    <xf numFmtId="43" fontId="0" fillId="9" borderId="125" xfId="2" applyFont="1" applyFill="1" applyBorder="1" applyAlignment="1" applyProtection="1">
      <alignment vertical="center"/>
      <protection locked="0"/>
    </xf>
    <xf numFmtId="43" fontId="0" fillId="4" borderId="107" xfId="2" applyFont="1" applyFill="1" applyBorder="1" applyAlignment="1" applyProtection="1">
      <alignment vertical="center"/>
      <protection locked="0"/>
    </xf>
    <xf numFmtId="43" fontId="0" fillId="9" borderId="83" xfId="2" applyFont="1" applyFill="1" applyBorder="1" applyAlignment="1" applyProtection="1">
      <alignment vertical="center"/>
      <protection locked="0"/>
    </xf>
    <xf numFmtId="43" fontId="0" fillId="9" borderId="75" xfId="2" applyFont="1" applyFill="1" applyBorder="1" applyAlignment="1" applyProtection="1">
      <alignment vertical="center"/>
      <protection locked="0"/>
    </xf>
    <xf numFmtId="43" fontId="0" fillId="9" borderId="95" xfId="2" applyFont="1" applyFill="1" applyBorder="1" applyAlignment="1" applyProtection="1">
      <alignment vertical="center"/>
      <protection locked="0"/>
    </xf>
    <xf numFmtId="43" fontId="18" fillId="9" borderId="49" xfId="2" applyFont="1" applyFill="1" applyBorder="1" applyAlignment="1" applyProtection="1">
      <alignment vertical="center"/>
      <protection locked="0"/>
    </xf>
    <xf numFmtId="43" fontId="0" fillId="9" borderId="59" xfId="2" applyFont="1" applyFill="1" applyBorder="1" applyAlignment="1" applyProtection="1">
      <alignment vertical="center"/>
      <protection locked="0"/>
    </xf>
    <xf numFmtId="43" fontId="18" fillId="9" borderId="26" xfId="2" applyFont="1" applyFill="1" applyBorder="1" applyAlignment="1" applyProtection="1">
      <alignment vertical="center"/>
      <protection locked="0"/>
    </xf>
    <xf numFmtId="43" fontId="10" fillId="9" borderId="30" xfId="2" applyFont="1" applyFill="1" applyBorder="1" applyAlignment="1" applyProtection="1">
      <alignment vertical="center"/>
      <protection locked="0"/>
    </xf>
    <xf numFmtId="43" fontId="18" fillId="9" borderId="22" xfId="2" applyFont="1" applyFill="1" applyBorder="1" applyAlignment="1" applyProtection="1">
      <alignment vertical="center"/>
      <protection locked="0"/>
    </xf>
    <xf numFmtId="43" fontId="10" fillId="9" borderId="53" xfId="2" applyFont="1" applyFill="1" applyBorder="1" applyAlignment="1" applyProtection="1">
      <alignment vertical="center"/>
      <protection locked="0"/>
    </xf>
    <xf numFmtId="43" fontId="18" fillId="9" borderId="24" xfId="2" applyFont="1" applyFill="1" applyBorder="1" applyAlignment="1" applyProtection="1">
      <alignment vertical="center"/>
      <protection locked="0"/>
    </xf>
    <xf numFmtId="43" fontId="0" fillId="9" borderId="38" xfId="2" applyFont="1" applyFill="1" applyBorder="1" applyAlignment="1" applyProtection="1">
      <alignment vertical="center"/>
      <protection locked="0"/>
    </xf>
    <xf numFmtId="43" fontId="0" fillId="9" borderId="42" xfId="2" applyFont="1" applyFill="1" applyBorder="1" applyAlignment="1" applyProtection="1">
      <alignment vertical="center"/>
      <protection locked="0"/>
    </xf>
    <xf numFmtId="43" fontId="0" fillId="4" borderId="65" xfId="2" applyFont="1" applyFill="1" applyBorder="1" applyAlignment="1" applyProtection="1">
      <alignment horizontal="right" vertical="center"/>
      <protection locked="0"/>
    </xf>
    <xf numFmtId="43" fontId="0" fillId="9" borderId="80" xfId="2" applyFont="1" applyFill="1" applyBorder="1" applyAlignment="1" applyProtection="1">
      <alignment vertical="center"/>
      <protection locked="0"/>
    </xf>
    <xf numFmtId="43" fontId="0" fillId="9" borderId="100" xfId="2" applyFont="1" applyFill="1" applyBorder="1" applyAlignment="1" applyProtection="1">
      <alignment vertical="center"/>
      <protection locked="0"/>
    </xf>
    <xf numFmtId="43" fontId="0" fillId="9" borderId="120" xfId="2" applyFont="1" applyFill="1" applyBorder="1" applyAlignment="1" applyProtection="1">
      <alignment vertical="center"/>
      <protection locked="0"/>
    </xf>
    <xf numFmtId="43" fontId="0" fillId="9" borderId="114" xfId="2" applyFont="1" applyFill="1" applyBorder="1" applyAlignment="1" applyProtection="1">
      <alignment vertical="center"/>
      <protection locked="0"/>
    </xf>
    <xf numFmtId="43" fontId="0" fillId="9" borderId="72" xfId="2" applyFont="1" applyFill="1" applyBorder="1" applyAlignment="1" applyProtection="1">
      <alignment vertical="center"/>
      <protection locked="0"/>
    </xf>
    <xf numFmtId="43" fontId="0" fillId="9" borderId="174" xfId="2" applyFont="1" applyFill="1" applyBorder="1" applyAlignment="1" applyProtection="1">
      <alignment horizontal="right" vertical="center"/>
      <protection locked="0"/>
    </xf>
    <xf numFmtId="0" fontId="10" fillId="9" borderId="84" xfId="0" applyFont="1" applyFill="1" applyBorder="1" applyProtection="1">
      <protection locked="0"/>
    </xf>
    <xf numFmtId="43" fontId="0" fillId="9" borderId="140" xfId="2" applyFont="1" applyFill="1" applyBorder="1" applyAlignment="1" applyProtection="1">
      <alignment vertical="center"/>
      <protection locked="0"/>
    </xf>
    <xf numFmtId="43" fontId="0" fillId="9" borderId="132" xfId="2" applyFont="1" applyFill="1" applyBorder="1" applyAlignment="1" applyProtection="1">
      <alignment horizontal="right" vertical="center"/>
      <protection locked="0"/>
    </xf>
    <xf numFmtId="43" fontId="0" fillId="9" borderId="135" xfId="2" applyFont="1" applyFill="1" applyBorder="1" applyAlignment="1" applyProtection="1">
      <alignment vertical="center"/>
      <protection locked="0"/>
    </xf>
    <xf numFmtId="43" fontId="0" fillId="9" borderId="177" xfId="2" applyFont="1" applyFill="1" applyBorder="1" applyAlignment="1" applyProtection="1">
      <alignment horizontal="right" vertical="center"/>
      <protection locked="0"/>
    </xf>
    <xf numFmtId="43" fontId="2" fillId="9" borderId="109" xfId="2" applyFont="1" applyFill="1" applyBorder="1" applyAlignment="1" applyProtection="1">
      <alignment vertical="center"/>
      <protection locked="0"/>
    </xf>
    <xf numFmtId="43" fontId="0" fillId="9" borderId="5" xfId="2" applyFont="1" applyFill="1" applyBorder="1" applyAlignment="1" applyProtection="1">
      <alignment vertical="center"/>
      <protection locked="0"/>
    </xf>
    <xf numFmtId="43" fontId="0" fillId="4" borderId="138" xfId="2" applyFont="1" applyFill="1" applyBorder="1" applyAlignment="1" applyProtection="1">
      <alignment vertical="center"/>
      <protection locked="0"/>
    </xf>
    <xf numFmtId="43" fontId="0" fillId="4" borderId="99" xfId="2" applyFont="1" applyFill="1" applyBorder="1" applyAlignment="1" applyProtection="1">
      <alignment vertical="center"/>
      <protection locked="0"/>
    </xf>
    <xf numFmtId="43" fontId="0" fillId="4" borderId="139" xfId="2" applyFont="1" applyFill="1" applyBorder="1" applyAlignment="1" applyProtection="1">
      <alignment vertical="center"/>
      <protection locked="0"/>
    </xf>
    <xf numFmtId="43" fontId="0" fillId="4" borderId="159" xfId="2" applyFont="1" applyFill="1" applyBorder="1" applyAlignment="1" applyProtection="1">
      <alignment horizontal="right" vertical="center"/>
      <protection locked="0"/>
    </xf>
    <xf numFmtId="43" fontId="0" fillId="9" borderId="98" xfId="2" applyFont="1" applyFill="1" applyBorder="1" applyAlignment="1" applyProtection="1">
      <alignment vertical="center"/>
      <protection locked="0"/>
    </xf>
    <xf numFmtId="43" fontId="0" fillId="9" borderId="112" xfId="2" applyFont="1" applyFill="1" applyBorder="1" applyAlignment="1" applyProtection="1">
      <alignment vertical="center"/>
      <protection locked="0"/>
    </xf>
    <xf numFmtId="43" fontId="0" fillId="9" borderId="113" xfId="2" applyFont="1" applyFill="1" applyBorder="1" applyAlignment="1" applyProtection="1">
      <alignment vertical="center"/>
      <protection locked="0"/>
    </xf>
    <xf numFmtId="43" fontId="0" fillId="9" borderId="154" xfId="2" applyFont="1" applyFill="1" applyBorder="1" applyAlignment="1" applyProtection="1">
      <alignment horizontal="right" vertical="center"/>
      <protection locked="0"/>
    </xf>
    <xf numFmtId="43" fontId="0" fillId="9" borderId="115" xfId="2" applyFont="1" applyFill="1" applyBorder="1" applyAlignment="1" applyProtection="1">
      <alignment vertical="center"/>
      <protection locked="0"/>
    </xf>
    <xf numFmtId="43" fontId="0" fillId="9" borderId="177" xfId="2" applyFont="1" applyFill="1" applyBorder="1" applyAlignment="1" applyProtection="1">
      <alignment vertical="center"/>
      <protection locked="0"/>
    </xf>
    <xf numFmtId="43" fontId="0" fillId="9" borderId="187" xfId="2" applyFont="1" applyFill="1" applyBorder="1" applyAlignment="1" applyProtection="1">
      <alignment vertical="center"/>
      <protection locked="0"/>
    </xf>
    <xf numFmtId="43" fontId="0" fillId="9" borderId="119" xfId="2" applyFont="1" applyFill="1" applyBorder="1" applyAlignment="1" applyProtection="1">
      <alignment vertical="center"/>
      <protection locked="0"/>
    </xf>
    <xf numFmtId="43" fontId="2" fillId="9" borderId="110" xfId="2" applyFont="1" applyFill="1" applyBorder="1" applyAlignment="1" applyProtection="1">
      <alignment vertical="center"/>
      <protection locked="0"/>
    </xf>
    <xf numFmtId="9" fontId="2" fillId="9" borderId="0" xfId="1" applyFont="1" applyFill="1" applyBorder="1" applyAlignment="1" applyProtection="1">
      <alignment vertical="center"/>
      <protection locked="0"/>
    </xf>
    <xf numFmtId="43" fontId="0" fillId="9" borderId="123" xfId="2" applyFont="1" applyFill="1" applyBorder="1" applyAlignment="1" applyProtection="1">
      <alignment vertical="center"/>
      <protection locked="0"/>
    </xf>
    <xf numFmtId="43" fontId="0" fillId="9" borderId="137" xfId="2" applyFont="1" applyFill="1" applyBorder="1" applyAlignment="1" applyProtection="1">
      <alignment vertical="center"/>
      <protection locked="0"/>
    </xf>
    <xf numFmtId="43" fontId="18" fillId="9" borderId="0" xfId="2" applyFont="1" applyFill="1" applyAlignment="1" applyProtection="1">
      <alignment vertical="center"/>
      <protection locked="0"/>
    </xf>
    <xf numFmtId="43" fontId="0" fillId="9" borderId="24" xfId="2" applyFont="1" applyFill="1" applyBorder="1" applyAlignment="1" applyProtection="1">
      <alignment vertical="center"/>
      <protection locked="0"/>
    </xf>
    <xf numFmtId="43" fontId="10" fillId="9" borderId="42" xfId="2" applyFont="1" applyFill="1" applyBorder="1" applyAlignment="1" applyProtection="1">
      <alignment vertical="center"/>
      <protection locked="0"/>
    </xf>
    <xf numFmtId="43" fontId="0" fillId="9" borderId="142" xfId="2" applyFont="1" applyFill="1" applyBorder="1" applyAlignment="1" applyProtection="1">
      <alignment vertical="center"/>
      <protection locked="0"/>
    </xf>
    <xf numFmtId="43" fontId="18" fillId="9" borderId="101" xfId="2" applyFont="1" applyFill="1" applyBorder="1" applyAlignment="1" applyProtection="1">
      <alignment vertical="center"/>
      <protection locked="0"/>
    </xf>
    <xf numFmtId="43" fontId="0" fillId="9" borderId="99" xfId="2" applyFont="1" applyFill="1" applyBorder="1" applyAlignment="1" applyProtection="1">
      <alignment vertical="center"/>
      <protection locked="0"/>
    </xf>
    <xf numFmtId="43" fontId="0" fillId="9" borderId="141" xfId="2" applyFont="1" applyFill="1" applyBorder="1" applyAlignment="1" applyProtection="1">
      <alignment vertical="center"/>
      <protection locked="0"/>
    </xf>
    <xf numFmtId="43" fontId="18" fillId="9" borderId="127" xfId="2" applyFont="1" applyFill="1" applyBorder="1" applyAlignment="1" applyProtection="1">
      <alignment vertical="center"/>
      <protection locked="0"/>
    </xf>
    <xf numFmtId="43" fontId="0" fillId="9" borderId="139" xfId="2" applyFont="1" applyFill="1" applyBorder="1" applyAlignment="1" applyProtection="1">
      <alignment vertical="center"/>
      <protection locked="0"/>
    </xf>
    <xf numFmtId="165" fontId="0" fillId="9" borderId="143" xfId="2" applyNumberFormat="1" applyFont="1" applyFill="1" applyBorder="1" applyAlignment="1" applyProtection="1">
      <alignment vertical="center"/>
      <protection locked="0"/>
    </xf>
    <xf numFmtId="43" fontId="18" fillId="9" borderId="75" xfId="2" applyFont="1" applyFill="1" applyBorder="1" applyAlignment="1" applyProtection="1">
      <alignment vertical="center"/>
      <protection locked="0"/>
    </xf>
    <xf numFmtId="43" fontId="18" fillId="9" borderId="144" xfId="2" applyFont="1" applyFill="1" applyBorder="1" applyAlignment="1" applyProtection="1">
      <alignment vertical="center"/>
      <protection locked="0"/>
    </xf>
    <xf numFmtId="43" fontId="0" fillId="9" borderId="151" xfId="2" applyFont="1" applyFill="1" applyBorder="1" applyAlignment="1" applyProtection="1">
      <alignment vertical="center"/>
      <protection locked="0"/>
    </xf>
    <xf numFmtId="43" fontId="0" fillId="9" borderId="58" xfId="2" applyFont="1" applyFill="1" applyBorder="1" applyAlignment="1" applyProtection="1">
      <alignment vertical="center"/>
      <protection locked="0"/>
    </xf>
    <xf numFmtId="43" fontId="18" fillId="9" borderId="145" xfId="2" applyFont="1" applyFill="1" applyBorder="1" applyAlignment="1" applyProtection="1">
      <alignment vertical="center"/>
      <protection locked="0"/>
    </xf>
    <xf numFmtId="43" fontId="0" fillId="9" borderId="150" xfId="2" applyFont="1" applyFill="1" applyBorder="1" applyAlignment="1" applyProtection="1">
      <alignment vertical="center"/>
      <protection locked="0"/>
    </xf>
    <xf numFmtId="43" fontId="18" fillId="9" borderId="146" xfId="2" applyFont="1" applyFill="1" applyBorder="1" applyAlignment="1" applyProtection="1">
      <alignment vertical="center"/>
      <protection locked="0"/>
    </xf>
    <xf numFmtId="43" fontId="18" fillId="9" borderId="147" xfId="2" applyFont="1" applyFill="1" applyBorder="1" applyAlignment="1" applyProtection="1">
      <alignment vertical="center"/>
      <protection locked="0"/>
    </xf>
    <xf numFmtId="43" fontId="0" fillId="9" borderId="149" xfId="2" applyFont="1" applyFill="1" applyBorder="1" applyAlignment="1" applyProtection="1">
      <alignment vertical="center"/>
      <protection locked="0"/>
    </xf>
    <xf numFmtId="43" fontId="0" fillId="4" borderId="159" xfId="2" applyFont="1" applyFill="1" applyBorder="1" applyAlignment="1" applyProtection="1">
      <alignment vertical="center"/>
      <protection locked="0"/>
    </xf>
    <xf numFmtId="43" fontId="0" fillId="4" borderId="156" xfId="2" applyFont="1" applyFill="1" applyBorder="1" applyAlignment="1" applyProtection="1">
      <alignment vertical="center"/>
      <protection locked="0"/>
    </xf>
    <xf numFmtId="43" fontId="0" fillId="4" borderId="155" xfId="2" applyFont="1" applyFill="1" applyBorder="1" applyAlignment="1" applyProtection="1">
      <alignment vertical="center"/>
      <protection locked="0"/>
    </xf>
    <xf numFmtId="43" fontId="0" fillId="4" borderId="158" xfId="2" applyFont="1" applyFill="1" applyBorder="1" applyAlignment="1" applyProtection="1">
      <alignment vertical="center"/>
      <protection locked="0"/>
    </xf>
    <xf numFmtId="43" fontId="0" fillId="4" borderId="157" xfId="2" applyFont="1" applyFill="1" applyBorder="1" applyAlignment="1" applyProtection="1">
      <alignment vertical="center"/>
      <protection locked="0"/>
    </xf>
    <xf numFmtId="43" fontId="18" fillId="9" borderId="122" xfId="2" applyFont="1" applyFill="1" applyBorder="1" applyAlignment="1" applyProtection="1">
      <alignment vertical="center"/>
      <protection locked="0"/>
    </xf>
    <xf numFmtId="43" fontId="0" fillId="9" borderId="188" xfId="2" applyFont="1" applyFill="1" applyBorder="1" applyAlignment="1" applyProtection="1">
      <alignment vertical="center"/>
      <protection locked="0"/>
    </xf>
    <xf numFmtId="43" fontId="18" fillId="9" borderId="123" xfId="2" applyFont="1" applyFill="1" applyBorder="1" applyAlignment="1" applyProtection="1">
      <alignment vertical="center"/>
      <protection locked="0"/>
    </xf>
    <xf numFmtId="43" fontId="0" fillId="9" borderId="28" xfId="2" applyFont="1" applyFill="1" applyBorder="1" applyAlignment="1" applyProtection="1">
      <alignment vertical="center"/>
      <protection locked="0"/>
    </xf>
    <xf numFmtId="43" fontId="0" fillId="9" borderId="57" xfId="2" applyFont="1" applyFill="1" applyBorder="1" applyAlignment="1" applyProtection="1">
      <alignment vertical="center"/>
      <protection locked="0"/>
    </xf>
    <xf numFmtId="43" fontId="18" fillId="9" borderId="107" xfId="2" applyFont="1" applyFill="1" applyBorder="1" applyAlignment="1" applyProtection="1">
      <alignment vertical="center"/>
      <protection locked="0"/>
    </xf>
    <xf numFmtId="43" fontId="0" fillId="9" borderId="31" xfId="2" applyFont="1" applyFill="1" applyBorder="1" applyAlignment="1" applyProtection="1">
      <alignment vertical="center"/>
      <protection locked="0"/>
    </xf>
    <xf numFmtId="43" fontId="0" fillId="9" borderId="74" xfId="2" applyFont="1" applyFill="1" applyBorder="1" applyAlignment="1" applyProtection="1">
      <alignment horizontal="right" vertical="center"/>
      <protection locked="0"/>
    </xf>
    <xf numFmtId="43" fontId="0" fillId="9" borderId="73" xfId="2" applyFont="1" applyFill="1" applyBorder="1" applyAlignment="1" applyProtection="1">
      <alignment vertical="center"/>
      <protection locked="0"/>
    </xf>
    <xf numFmtId="43" fontId="0" fillId="4" borderId="168" xfId="2" applyFont="1" applyFill="1" applyBorder="1" applyAlignment="1" applyProtection="1">
      <alignment horizontal="right" vertical="center"/>
      <protection locked="0"/>
    </xf>
    <xf numFmtId="166" fontId="2" fillId="0" borderId="0" xfId="2" applyNumberFormat="1" applyFont="1" applyBorder="1" applyAlignment="1">
      <alignment vertical="center"/>
    </xf>
    <xf numFmtId="166" fontId="2" fillId="0" borderId="6" xfId="2" applyNumberFormat="1" applyFont="1" applyBorder="1" applyAlignment="1">
      <alignment vertical="center"/>
    </xf>
    <xf numFmtId="43" fontId="0" fillId="9" borderId="196" xfId="2" applyFont="1" applyFill="1" applyBorder="1" applyAlignment="1" applyProtection="1">
      <alignment vertical="center"/>
      <protection locked="0"/>
    </xf>
    <xf numFmtId="43" fontId="0" fillId="9" borderId="197" xfId="2" applyFont="1" applyFill="1" applyBorder="1" applyAlignment="1" applyProtection="1">
      <alignment vertical="center"/>
      <protection locked="0"/>
    </xf>
    <xf numFmtId="43" fontId="0" fillId="9" borderId="198" xfId="2" applyFont="1" applyFill="1" applyBorder="1" applyAlignment="1" applyProtection="1">
      <alignment vertical="center"/>
      <protection locked="0"/>
    </xf>
    <xf numFmtId="9" fontId="2" fillId="9" borderId="173" xfId="1" applyFont="1" applyFill="1" applyBorder="1" applyAlignment="1" applyProtection="1">
      <alignment horizontal="center" vertical="center"/>
      <protection locked="0"/>
    </xf>
    <xf numFmtId="43" fontId="24" fillId="5" borderId="8" xfId="2" applyFont="1" applyFill="1" applyBorder="1" applyAlignment="1" applyProtection="1">
      <alignment vertical="center"/>
      <protection locked="0"/>
    </xf>
    <xf numFmtId="43" fontId="0" fillId="0" borderId="93" xfId="2" applyFont="1" applyFill="1" applyBorder="1" applyAlignment="1">
      <alignment vertical="center"/>
    </xf>
    <xf numFmtId="10" fontId="0" fillId="9" borderId="47" xfId="1" applyNumberFormat="1" applyFont="1" applyFill="1" applyBorder="1" applyAlignment="1" applyProtection="1">
      <alignment vertical="center"/>
      <protection locked="0"/>
    </xf>
    <xf numFmtId="10" fontId="0" fillId="9" borderId="33" xfId="1" applyNumberFormat="1" applyFont="1" applyFill="1" applyBorder="1" applyAlignment="1" applyProtection="1">
      <alignment vertical="center"/>
      <protection locked="0"/>
    </xf>
    <xf numFmtId="10" fontId="0" fillId="9" borderId="21" xfId="1" applyNumberFormat="1" applyFont="1" applyFill="1" applyBorder="1" applyAlignment="1" applyProtection="1">
      <alignment vertical="center"/>
      <protection locked="0"/>
    </xf>
    <xf numFmtId="10" fontId="0" fillId="9" borderId="94" xfId="1" applyNumberFormat="1" applyFont="1" applyFill="1" applyBorder="1" applyAlignment="1" applyProtection="1">
      <alignment vertical="center"/>
      <protection locked="0"/>
    </xf>
    <xf numFmtId="10" fontId="0" fillId="9" borderId="91" xfId="1" applyNumberFormat="1" applyFont="1" applyFill="1" applyBorder="1" applyAlignment="1" applyProtection="1">
      <alignment vertical="center"/>
      <protection locked="0"/>
    </xf>
    <xf numFmtId="3" fontId="0" fillId="0" borderId="0" xfId="0" applyNumberFormat="1" applyAlignment="1">
      <alignment wrapText="1"/>
    </xf>
    <xf numFmtId="43" fontId="18" fillId="9" borderId="2" xfId="2" applyFont="1" applyFill="1" applyBorder="1" applyAlignment="1" applyProtection="1">
      <alignment vertical="center"/>
      <protection locked="0"/>
    </xf>
    <xf numFmtId="43" fontId="0" fillId="0" borderId="0" xfId="2" applyFont="1" applyFill="1" applyBorder="1" applyAlignment="1">
      <alignment horizontal="center" vertical="center"/>
    </xf>
    <xf numFmtId="11" fontId="0" fillId="9" borderId="47" xfId="2" applyNumberFormat="1" applyFont="1" applyFill="1" applyBorder="1" applyAlignment="1" applyProtection="1">
      <alignment vertical="center"/>
      <protection locked="0"/>
    </xf>
    <xf numFmtId="11" fontId="0" fillId="9" borderId="33" xfId="2" applyNumberFormat="1" applyFont="1" applyFill="1" applyBorder="1" applyAlignment="1" applyProtection="1">
      <alignment vertical="center"/>
      <protection locked="0"/>
    </xf>
    <xf numFmtId="11" fontId="0" fillId="9" borderId="21" xfId="2" applyNumberFormat="1" applyFont="1" applyFill="1" applyBorder="1" applyAlignment="1" applyProtection="1">
      <alignment vertical="center"/>
      <protection locked="0"/>
    </xf>
    <xf numFmtId="43" fontId="0" fillId="9" borderId="199" xfId="2" applyFont="1" applyFill="1" applyBorder="1" applyAlignment="1" applyProtection="1">
      <alignment vertical="center"/>
      <protection locked="0"/>
    </xf>
    <xf numFmtId="43" fontId="11" fillId="0" borderId="93" xfId="2" applyFont="1" applyBorder="1" applyAlignment="1">
      <alignment vertical="center"/>
    </xf>
    <xf numFmtId="43" fontId="2" fillId="9" borderId="93" xfId="2" applyFont="1" applyFill="1" applyBorder="1" applyAlignment="1">
      <alignment vertical="center"/>
    </xf>
    <xf numFmtId="166" fontId="2" fillId="0" borderId="5" xfId="2" applyNumberFormat="1" applyFont="1" applyBorder="1" applyAlignment="1">
      <alignment vertical="center"/>
    </xf>
    <xf numFmtId="166" fontId="2" fillId="0" borderId="8" xfId="2" applyNumberFormat="1" applyFont="1" applyBorder="1" applyAlignment="1">
      <alignment vertical="center"/>
    </xf>
    <xf numFmtId="166" fontId="2" fillId="0" borderId="12" xfId="2" applyNumberFormat="1" applyFont="1" applyBorder="1" applyAlignment="1">
      <alignment vertical="center"/>
    </xf>
    <xf numFmtId="165" fontId="2" fillId="0" borderId="6" xfId="2" applyNumberFormat="1" applyFont="1" applyBorder="1" applyAlignment="1">
      <alignment vertical="center"/>
    </xf>
    <xf numFmtId="165" fontId="2" fillId="0" borderId="0" xfId="2" applyNumberFormat="1" applyFont="1" applyBorder="1" applyAlignment="1">
      <alignment vertical="center"/>
    </xf>
    <xf numFmtId="165" fontId="2" fillId="0" borderId="12" xfId="2" applyNumberFormat="1" applyFont="1" applyBorder="1" applyAlignment="1">
      <alignment vertical="center"/>
    </xf>
    <xf numFmtId="165" fontId="2" fillId="0" borderId="111" xfId="2" applyNumberFormat="1" applyFont="1" applyBorder="1" applyAlignment="1">
      <alignment vertical="center"/>
    </xf>
    <xf numFmtId="165" fontId="2" fillId="0" borderId="93" xfId="2" applyNumberFormat="1" applyFont="1" applyBorder="1" applyAlignment="1">
      <alignment vertical="center"/>
    </xf>
    <xf numFmtId="166" fontId="2" fillId="0" borderId="5" xfId="2" applyNumberFormat="1" applyFont="1" applyFill="1" applyBorder="1" applyAlignment="1">
      <alignment vertical="center"/>
    </xf>
    <xf numFmtId="166" fontId="2" fillId="0" borderId="8" xfId="2" applyNumberFormat="1" applyFont="1" applyFill="1" applyBorder="1" applyAlignment="1">
      <alignment vertical="center"/>
    </xf>
    <xf numFmtId="166" fontId="2" fillId="0" borderId="11" xfId="2" applyNumberFormat="1" applyFont="1" applyFill="1" applyBorder="1" applyAlignment="1">
      <alignment vertical="center"/>
    </xf>
    <xf numFmtId="0" fontId="29" fillId="0" borderId="0" xfId="0" applyFont="1" applyAlignment="1">
      <alignment vertical="center"/>
    </xf>
    <xf numFmtId="0" fontId="30" fillId="0" borderId="0" xfId="0" applyFont="1"/>
    <xf numFmtId="43" fontId="1" fillId="3" borderId="8" xfId="2" applyFont="1" applyFill="1" applyBorder="1" applyAlignment="1">
      <alignment horizontal="left" vertical="center"/>
    </xf>
    <xf numFmtId="43" fontId="1" fillId="2" borderId="5" xfId="2" applyFont="1" applyFill="1" applyBorder="1" applyAlignment="1">
      <alignment horizontal="left" vertical="center"/>
    </xf>
    <xf numFmtId="43" fontId="0" fillId="4" borderId="201" xfId="2" applyFont="1" applyFill="1" applyBorder="1" applyAlignment="1" applyProtection="1">
      <alignment horizontal="right" vertical="center"/>
      <protection locked="0"/>
    </xf>
    <xf numFmtId="43" fontId="0" fillId="0" borderId="102" xfId="0" applyNumberFormat="1" applyBorder="1"/>
    <xf numFmtId="0" fontId="18" fillId="0" borderId="6" xfId="0" applyFont="1" applyBorder="1" applyAlignment="1">
      <alignment vertical="center"/>
    </xf>
    <xf numFmtId="0" fontId="2" fillId="0" borderId="7" xfId="2" applyNumberFormat="1" applyFont="1" applyBorder="1" applyAlignment="1">
      <alignment vertical="center"/>
    </xf>
    <xf numFmtId="0" fontId="2" fillId="0" borderId="9" xfId="2" applyNumberFormat="1" applyFont="1" applyBorder="1" applyAlignment="1">
      <alignment vertical="center"/>
    </xf>
    <xf numFmtId="0" fontId="18" fillId="0" borderId="12" xfId="0" applyFont="1" applyBorder="1" applyAlignment="1">
      <alignment vertical="center"/>
    </xf>
    <xf numFmtId="43" fontId="0" fillId="9" borderId="123" xfId="2" applyFont="1" applyFill="1" applyBorder="1" applyAlignment="1" applyProtection="1">
      <alignment horizontal="right" vertical="center"/>
      <protection locked="0"/>
    </xf>
    <xf numFmtId="43" fontId="1" fillId="3" borderId="12" xfId="2" applyFont="1" applyFill="1" applyBorder="1" applyAlignment="1">
      <alignment vertical="center"/>
    </xf>
    <xf numFmtId="43" fontId="11" fillId="0" borderId="85" xfId="2" applyFont="1" applyFill="1" applyBorder="1" applyAlignment="1">
      <alignment vertical="center"/>
    </xf>
    <xf numFmtId="43" fontId="0" fillId="0" borderId="8" xfId="0" applyNumberFormat="1" applyBorder="1"/>
    <xf numFmtId="43" fontId="0" fillId="9" borderId="208" xfId="2" applyFont="1" applyFill="1" applyBorder="1" applyAlignment="1" applyProtection="1">
      <alignment vertical="center"/>
      <protection locked="0"/>
    </xf>
    <xf numFmtId="43" fontId="0" fillId="9" borderId="209" xfId="2" applyFont="1" applyFill="1" applyBorder="1" applyAlignment="1" applyProtection="1">
      <alignment horizontal="right" vertical="center"/>
      <protection locked="0"/>
    </xf>
    <xf numFmtId="0" fontId="0" fillId="0" borderId="102" xfId="0" applyBorder="1"/>
    <xf numFmtId="43" fontId="6" fillId="0" borderId="0" xfId="2" applyFont="1" applyFill="1" applyBorder="1" applyAlignment="1">
      <alignment vertical="center"/>
    </xf>
    <xf numFmtId="43" fontId="0" fillId="4" borderId="210" xfId="2" applyFont="1" applyFill="1" applyBorder="1" applyAlignment="1">
      <alignment vertical="center"/>
    </xf>
    <xf numFmtId="43" fontId="0" fillId="9" borderId="211" xfId="2" applyFont="1" applyFill="1" applyBorder="1" applyAlignment="1" applyProtection="1">
      <alignment vertical="center"/>
      <protection locked="0"/>
    </xf>
    <xf numFmtId="43" fontId="18" fillId="9" borderId="148" xfId="2" applyFont="1" applyFill="1" applyBorder="1" applyAlignment="1" applyProtection="1">
      <alignment vertical="center"/>
      <protection locked="0"/>
    </xf>
    <xf numFmtId="43" fontId="0" fillId="9" borderId="131" xfId="2" applyFont="1" applyFill="1" applyBorder="1" applyAlignment="1" applyProtection="1">
      <alignment vertical="center"/>
      <protection locked="0"/>
    </xf>
    <xf numFmtId="43" fontId="0" fillId="5" borderId="212" xfId="2" applyFont="1" applyFill="1" applyBorder="1" applyAlignment="1">
      <alignment vertical="center"/>
    </xf>
    <xf numFmtId="43" fontId="0" fillId="9" borderId="213" xfId="2" applyFont="1" applyFill="1" applyBorder="1" applyAlignment="1" applyProtection="1">
      <alignment vertical="center"/>
      <protection locked="0"/>
    </xf>
    <xf numFmtId="43" fontId="0" fillId="9" borderId="106" xfId="2" applyFont="1" applyFill="1" applyBorder="1" applyAlignment="1" applyProtection="1">
      <alignment vertical="center"/>
      <protection locked="0"/>
    </xf>
    <xf numFmtId="43" fontId="2" fillId="7" borderId="7" xfId="2" applyFont="1" applyFill="1" applyBorder="1" applyAlignment="1">
      <alignment vertical="center"/>
    </xf>
    <xf numFmtId="43" fontId="2" fillId="7" borderId="13" xfId="2" applyFont="1" applyFill="1" applyBorder="1" applyAlignment="1">
      <alignment vertical="center"/>
    </xf>
    <xf numFmtId="43" fontId="2" fillId="7" borderId="5" xfId="2" applyFont="1" applyFill="1" applyBorder="1" applyAlignment="1">
      <alignment vertical="center"/>
    </xf>
    <xf numFmtId="43" fontId="2" fillId="7" borderId="11" xfId="2" applyFont="1" applyFill="1" applyBorder="1" applyAlignment="1">
      <alignment vertical="center"/>
    </xf>
    <xf numFmtId="43" fontId="18" fillId="0" borderId="17" xfId="2" applyFont="1" applyFill="1" applyBorder="1" applyAlignment="1">
      <alignment horizontal="left" vertical="center"/>
    </xf>
    <xf numFmtId="43" fontId="2" fillId="0" borderId="111" xfId="2" applyFont="1" applyBorder="1" applyAlignment="1">
      <alignment vertical="center"/>
    </xf>
    <xf numFmtId="43" fontId="0" fillId="9" borderId="215" xfId="2" applyFont="1" applyFill="1" applyBorder="1" applyAlignment="1" applyProtection="1">
      <alignment vertical="center"/>
      <protection locked="0"/>
    </xf>
    <xf numFmtId="43" fontId="0" fillId="9" borderId="217" xfId="2" applyFont="1" applyFill="1" applyBorder="1" applyAlignment="1" applyProtection="1">
      <alignment vertical="center"/>
      <protection locked="0"/>
    </xf>
    <xf numFmtId="43" fontId="0" fillId="9" borderId="165" xfId="2" applyFont="1" applyFill="1" applyBorder="1" applyAlignment="1">
      <alignment vertical="center"/>
    </xf>
    <xf numFmtId="43" fontId="2" fillId="0" borderId="103" xfId="2" applyFont="1" applyBorder="1" applyAlignment="1">
      <alignment vertical="center"/>
    </xf>
    <xf numFmtId="43" fontId="0" fillId="9" borderId="218" xfId="2" applyFont="1" applyFill="1" applyBorder="1" applyAlignment="1" applyProtection="1">
      <alignment vertical="center"/>
      <protection locked="0"/>
    </xf>
    <xf numFmtId="43" fontId="0" fillId="0" borderId="6" xfId="2" applyFont="1" applyFill="1" applyBorder="1" applyAlignment="1">
      <alignment horizontal="center" vertical="center"/>
    </xf>
    <xf numFmtId="43" fontId="31" fillId="0" borderId="5" xfId="4" applyNumberFormat="1" applyBorder="1" applyAlignment="1">
      <alignment vertical="center"/>
    </xf>
    <xf numFmtId="43" fontId="31" fillId="0" borderId="8" xfId="4" applyNumberFormat="1" applyBorder="1" applyAlignment="1">
      <alignment vertical="center"/>
    </xf>
    <xf numFmtId="43" fontId="31" fillId="0" borderId="11" xfId="4" applyNumberFormat="1" applyBorder="1" applyAlignment="1">
      <alignment vertical="center"/>
    </xf>
    <xf numFmtId="43" fontId="0" fillId="0" borderId="12" xfId="2" applyFont="1" applyFill="1" applyBorder="1" applyAlignment="1">
      <alignment horizontal="center" vertical="center"/>
    </xf>
    <xf numFmtId="43" fontId="31" fillId="0" borderId="0" xfId="4" applyNumberFormat="1" applyBorder="1" applyAlignment="1">
      <alignment vertical="center"/>
    </xf>
    <xf numFmtId="43" fontId="0" fillId="9" borderId="221" xfId="2" applyFont="1" applyFill="1" applyBorder="1" applyAlignment="1" applyProtection="1">
      <alignment vertical="center"/>
      <protection locked="0"/>
    </xf>
    <xf numFmtId="43" fontId="0" fillId="9" borderId="222" xfId="2" applyFont="1" applyFill="1" applyBorder="1" applyAlignment="1" applyProtection="1">
      <alignment vertical="center"/>
      <protection locked="0"/>
    </xf>
    <xf numFmtId="43" fontId="0" fillId="9" borderId="223" xfId="2" applyFont="1" applyFill="1" applyBorder="1" applyAlignment="1" applyProtection="1">
      <alignment vertical="center"/>
      <protection locked="0"/>
    </xf>
    <xf numFmtId="43" fontId="2" fillId="13" borderId="0" xfId="2" applyFont="1" applyFill="1" applyAlignment="1">
      <alignment vertical="center"/>
    </xf>
    <xf numFmtId="43" fontId="2" fillId="13" borderId="8" xfId="2" applyFont="1" applyFill="1" applyBorder="1" applyAlignment="1">
      <alignment vertical="center"/>
    </xf>
    <xf numFmtId="43" fontId="2" fillId="13" borderId="0" xfId="2" applyFont="1" applyFill="1" applyBorder="1" applyAlignment="1">
      <alignment vertical="center"/>
    </xf>
    <xf numFmtId="43" fontId="2" fillId="13" borderId="9" xfId="2" applyFont="1" applyFill="1" applyBorder="1" applyAlignment="1">
      <alignment vertical="center"/>
    </xf>
    <xf numFmtId="0" fontId="6" fillId="6" borderId="12" xfId="0" applyFont="1" applyFill="1" applyBorder="1"/>
    <xf numFmtId="44" fontId="6" fillId="6" borderId="12" xfId="0" applyNumberFormat="1" applyFont="1" applyFill="1" applyBorder="1"/>
    <xf numFmtId="43" fontId="18" fillId="13" borderId="63" xfId="2" applyFont="1" applyFill="1" applyBorder="1" applyAlignment="1">
      <alignment horizontal="left" vertical="center"/>
    </xf>
    <xf numFmtId="43" fontId="0" fillId="13" borderId="0" xfId="2" applyFont="1" applyFill="1" applyBorder="1" applyAlignment="1">
      <alignment vertical="center"/>
    </xf>
    <xf numFmtId="43" fontId="6" fillId="13" borderId="0" xfId="2" applyFont="1" applyFill="1" applyBorder="1" applyAlignment="1">
      <alignment horizontal="left" vertical="center"/>
    </xf>
    <xf numFmtId="43" fontId="0" fillId="9" borderId="224" xfId="2" applyFont="1" applyFill="1" applyBorder="1" applyAlignment="1" applyProtection="1">
      <alignment vertical="center"/>
      <protection locked="0"/>
    </xf>
    <xf numFmtId="43" fontId="0" fillId="4" borderId="105" xfId="2" applyFont="1" applyFill="1" applyBorder="1" applyAlignment="1" applyProtection="1">
      <alignment vertical="center"/>
      <protection locked="0"/>
    </xf>
    <xf numFmtId="43" fontId="0" fillId="9" borderId="227" xfId="2" applyFont="1" applyFill="1" applyBorder="1" applyAlignment="1" applyProtection="1">
      <alignment vertical="center"/>
      <protection locked="0"/>
    </xf>
    <xf numFmtId="43" fontId="0" fillId="9" borderId="67" xfId="2" applyFont="1" applyFill="1" applyBorder="1" applyAlignment="1" applyProtection="1">
      <alignment horizontal="right" vertical="center"/>
      <protection locked="0"/>
    </xf>
    <xf numFmtId="0" fontId="0" fillId="4" borderId="9" xfId="2" applyNumberFormat="1" applyFont="1" applyFill="1" applyBorder="1" applyAlignment="1">
      <alignment vertical="center"/>
    </xf>
    <xf numFmtId="0" fontId="0" fillId="4" borderId="7" xfId="2" applyNumberFormat="1" applyFont="1" applyFill="1" applyBorder="1" applyAlignment="1">
      <alignment vertical="center" wrapText="1"/>
    </xf>
    <xf numFmtId="0" fontId="0" fillId="4" borderId="6" xfId="2" applyNumberFormat="1" applyFont="1" applyFill="1" applyBorder="1" applyAlignment="1">
      <alignment vertical="center" wrapText="1"/>
    </xf>
    <xf numFmtId="0" fontId="0" fillId="4" borderId="8" xfId="2" applyNumberFormat="1" applyFont="1" applyFill="1" applyBorder="1" applyAlignment="1">
      <alignment vertical="center"/>
    </xf>
    <xf numFmtId="0" fontId="6" fillId="4" borderId="62" xfId="2" applyNumberFormat="1" applyFont="1" applyFill="1" applyBorder="1" applyAlignment="1">
      <alignment horizontal="left" vertical="center"/>
    </xf>
    <xf numFmtId="0" fontId="2" fillId="4" borderId="11" xfId="2" applyNumberFormat="1" applyFont="1" applyFill="1" applyBorder="1" applyAlignment="1">
      <alignment vertical="center"/>
    </xf>
    <xf numFmtId="0" fontId="0" fillId="4" borderId="5" xfId="2" applyNumberFormat="1" applyFont="1" applyFill="1" applyBorder="1" applyAlignment="1">
      <alignment vertical="center"/>
    </xf>
    <xf numFmtId="0" fontId="6" fillId="4" borderId="11" xfId="2" applyNumberFormat="1" applyFont="1" applyFill="1" applyBorder="1" applyAlignment="1">
      <alignment horizontal="left" vertical="center"/>
    </xf>
    <xf numFmtId="43" fontId="6" fillId="5" borderId="12" xfId="2" applyFont="1" applyFill="1" applyBorder="1"/>
    <xf numFmtId="43" fontId="13" fillId="5" borderId="0" xfId="0" applyNumberFormat="1" applyFont="1" applyFill="1"/>
    <xf numFmtId="44" fontId="13" fillId="6" borderId="0" xfId="0" applyNumberFormat="1" applyFont="1" applyFill="1"/>
    <xf numFmtId="44" fontId="13" fillId="6" borderId="12" xfId="0" applyNumberFormat="1" applyFont="1" applyFill="1" applyBorder="1"/>
    <xf numFmtId="43" fontId="13" fillId="5" borderId="0" xfId="2" applyFont="1" applyFill="1" applyBorder="1"/>
    <xf numFmtId="0" fontId="13" fillId="5" borderId="0" xfId="0" applyFont="1" applyFill="1"/>
    <xf numFmtId="0" fontId="13" fillId="5" borderId="12" xfId="0" applyFont="1" applyFill="1" applyBorder="1"/>
    <xf numFmtId="43" fontId="13" fillId="7" borderId="0" xfId="2" applyFont="1" applyFill="1" applyAlignment="1">
      <alignment vertical="center"/>
    </xf>
    <xf numFmtId="0" fontId="6" fillId="4" borderId="13" xfId="2" applyNumberFormat="1" applyFont="1" applyFill="1" applyBorder="1" applyAlignment="1">
      <alignment vertical="center"/>
    </xf>
    <xf numFmtId="0" fontId="6" fillId="4" borderId="63" xfId="2" applyNumberFormat="1" applyFont="1" applyFill="1" applyBorder="1" applyAlignment="1">
      <alignment vertical="center"/>
    </xf>
    <xf numFmtId="0" fontId="0" fillId="4" borderId="6" xfId="0" applyFill="1" applyBorder="1" applyAlignment="1">
      <alignment horizontal="right"/>
    </xf>
    <xf numFmtId="0" fontId="0" fillId="4" borderId="0" xfId="0" applyFill="1" applyAlignment="1">
      <alignment horizontal="right"/>
    </xf>
    <xf numFmtId="0" fontId="0" fillId="4" borderId="8" xfId="0" applyFill="1" applyBorder="1" applyAlignment="1">
      <alignment horizontal="right"/>
    </xf>
    <xf numFmtId="0" fontId="0" fillId="4" borderId="11" xfId="0" applyFill="1" applyBorder="1" applyAlignment="1">
      <alignment horizontal="right"/>
    </xf>
    <xf numFmtId="43" fontId="13" fillId="7" borderId="9" xfId="2" applyFont="1" applyFill="1" applyBorder="1" applyAlignment="1">
      <alignment vertical="center"/>
    </xf>
    <xf numFmtId="0" fontId="0" fillId="4" borderId="7" xfId="0" applyFill="1" applyBorder="1" applyAlignment="1">
      <alignment horizontal="left"/>
    </xf>
    <xf numFmtId="0" fontId="0" fillId="4" borderId="9" xfId="0" applyFill="1" applyBorder="1" applyAlignment="1">
      <alignment horizontal="left"/>
    </xf>
    <xf numFmtId="0" fontId="0" fillId="4" borderId="13" xfId="0" applyFill="1" applyBorder="1" applyAlignment="1">
      <alignment horizontal="left"/>
    </xf>
    <xf numFmtId="0" fontId="0" fillId="4" borderId="7" xfId="2" applyNumberFormat="1" applyFont="1" applyFill="1" applyBorder="1" applyAlignment="1">
      <alignment horizontal="left" vertical="center"/>
    </xf>
    <xf numFmtId="0" fontId="0" fillId="4" borderId="9" xfId="2" applyNumberFormat="1" applyFont="1" applyFill="1" applyBorder="1" applyAlignment="1">
      <alignment horizontal="left" vertical="center"/>
    </xf>
    <xf numFmtId="0" fontId="6" fillId="4" borderId="63" xfId="2" applyNumberFormat="1" applyFont="1" applyFill="1" applyBorder="1" applyAlignment="1">
      <alignment horizontal="left" vertical="center"/>
    </xf>
    <xf numFmtId="0" fontId="6" fillId="4" borderId="13" xfId="2" applyNumberFormat="1" applyFont="1" applyFill="1" applyBorder="1" applyAlignment="1">
      <alignment horizontal="left" vertical="center"/>
    </xf>
    <xf numFmtId="43" fontId="13" fillId="5" borderId="0" xfId="2" applyFont="1" applyFill="1" applyAlignment="1">
      <alignment horizontal="left" vertical="center"/>
    </xf>
    <xf numFmtId="43" fontId="13" fillId="7" borderId="0" xfId="2" applyFont="1" applyFill="1" applyAlignment="1">
      <alignment horizontal="left" vertical="center"/>
    </xf>
    <xf numFmtId="14" fontId="0" fillId="4" borderId="12" xfId="0" applyNumberFormat="1" applyFill="1" applyBorder="1" applyAlignment="1">
      <alignment horizontal="right"/>
    </xf>
    <xf numFmtId="0" fontId="0" fillId="4" borderId="12" xfId="0" applyFill="1" applyBorder="1" applyAlignment="1">
      <alignment horizontal="right"/>
    </xf>
    <xf numFmtId="0" fontId="0" fillId="4" borderId="5" xfId="0" applyFill="1" applyBorder="1" applyAlignment="1">
      <alignment horizontal="right"/>
    </xf>
    <xf numFmtId="0" fontId="0" fillId="4" borderId="7" xfId="0" applyFill="1" applyBorder="1" applyAlignment="1">
      <alignment horizontal="right"/>
    </xf>
    <xf numFmtId="0" fontId="0" fillId="4" borderId="0" xfId="2" applyNumberFormat="1" applyFont="1" applyFill="1" applyBorder="1" applyAlignment="1">
      <alignment horizontal="right"/>
    </xf>
    <xf numFmtId="43" fontId="0" fillId="9" borderId="229" xfId="2" applyFont="1" applyFill="1" applyBorder="1" applyAlignment="1" applyProtection="1">
      <alignment horizontal="right" vertical="center"/>
      <protection locked="0"/>
    </xf>
    <xf numFmtId="0" fontId="10" fillId="9" borderId="230" xfId="0" applyFont="1" applyFill="1" applyBorder="1" applyProtection="1">
      <protection locked="0"/>
    </xf>
    <xf numFmtId="43" fontId="18" fillId="9" borderId="232" xfId="2" applyFont="1" applyFill="1" applyBorder="1" applyAlignment="1" applyProtection="1">
      <alignment vertical="center"/>
      <protection locked="0"/>
    </xf>
    <xf numFmtId="43" fontId="0" fillId="9" borderId="233" xfId="2" applyFont="1" applyFill="1" applyBorder="1" applyAlignment="1" applyProtection="1">
      <alignment vertical="center"/>
      <protection locked="0"/>
    </xf>
    <xf numFmtId="43" fontId="0" fillId="9" borderId="235" xfId="2" applyFont="1" applyFill="1" applyBorder="1" applyAlignment="1" applyProtection="1">
      <alignment vertical="center"/>
      <protection locked="0"/>
    </xf>
    <xf numFmtId="43" fontId="0" fillId="9" borderId="234" xfId="2" applyFont="1" applyFill="1" applyBorder="1" applyAlignment="1" applyProtection="1">
      <alignment vertical="center"/>
      <protection locked="0"/>
    </xf>
    <xf numFmtId="166" fontId="0" fillId="0" borderId="0" xfId="0" applyNumberFormat="1"/>
    <xf numFmtId="0" fontId="10" fillId="11" borderId="0" xfId="2" applyNumberFormat="1" applyFont="1" applyFill="1" applyAlignment="1">
      <alignment vertical="center"/>
    </xf>
    <xf numFmtId="0" fontId="12" fillId="11" borderId="12" xfId="2" applyNumberFormat="1" applyFont="1" applyFill="1" applyBorder="1" applyAlignment="1">
      <alignment horizontal="center" vertical="center"/>
    </xf>
    <xf numFmtId="0" fontId="0" fillId="5" borderId="0" xfId="2" applyNumberFormat="1" applyFont="1" applyFill="1" applyAlignment="1">
      <alignment vertical="center"/>
    </xf>
    <xf numFmtId="0" fontId="2" fillId="0" borderId="0" xfId="2" applyNumberFormat="1" applyFont="1" applyAlignment="1">
      <alignment vertical="center"/>
    </xf>
    <xf numFmtId="0" fontId="0" fillId="13" borderId="9" xfId="2" applyNumberFormat="1" applyFont="1" applyFill="1" applyBorder="1" applyAlignment="1">
      <alignment vertical="center"/>
    </xf>
    <xf numFmtId="0" fontId="2" fillId="0" borderId="0" xfId="2" applyNumberFormat="1" applyFont="1" applyFill="1" applyAlignment="1">
      <alignment vertical="center"/>
    </xf>
    <xf numFmtId="43" fontId="11" fillId="11" borderId="6" xfId="2" applyFont="1" applyFill="1" applyBorder="1" applyAlignment="1">
      <alignment vertical="center"/>
    </xf>
    <xf numFmtId="0" fontId="11" fillId="11" borderId="6" xfId="2" applyNumberFormat="1" applyFont="1" applyFill="1" applyBorder="1" applyAlignment="1">
      <alignment vertical="center"/>
    </xf>
    <xf numFmtId="43" fontId="11" fillId="11" borderId="0" xfId="2" applyFont="1" applyFill="1" applyAlignment="1">
      <alignment vertical="center"/>
    </xf>
    <xf numFmtId="0" fontId="11" fillId="11" borderId="0" xfId="2" applyNumberFormat="1" applyFont="1" applyFill="1" applyAlignment="1">
      <alignment vertical="center"/>
    </xf>
    <xf numFmtId="0" fontId="2" fillId="5" borderId="0" xfId="2" applyNumberFormat="1" applyFont="1" applyFill="1" applyAlignment="1">
      <alignment vertical="center"/>
    </xf>
    <xf numFmtId="0" fontId="2" fillId="0" borderId="0" xfId="0" applyFont="1"/>
    <xf numFmtId="0" fontId="2" fillId="11" borderId="6" xfId="0" applyFont="1" applyFill="1" applyBorder="1"/>
    <xf numFmtId="43" fontId="2" fillId="11" borderId="6" xfId="0" applyNumberFormat="1" applyFont="1" applyFill="1" applyBorder="1"/>
    <xf numFmtId="0" fontId="2" fillId="11" borderId="0" xfId="0" applyFont="1" applyFill="1"/>
    <xf numFmtId="43" fontId="2" fillId="11" borderId="0" xfId="0" applyNumberFormat="1" applyFont="1" applyFill="1"/>
    <xf numFmtId="0" fontId="2" fillId="5" borderId="0" xfId="0" applyFont="1" applyFill="1"/>
    <xf numFmtId="0" fontId="5" fillId="11" borderId="12" xfId="0" applyFont="1" applyFill="1" applyBorder="1"/>
    <xf numFmtId="0" fontId="2" fillId="5" borderId="6" xfId="0" applyFont="1" applyFill="1" applyBorder="1"/>
    <xf numFmtId="0" fontId="5" fillId="5" borderId="6" xfId="0" applyFont="1" applyFill="1" applyBorder="1"/>
    <xf numFmtId="0" fontId="2" fillId="11" borderId="12" xfId="0" applyFont="1" applyFill="1" applyBorder="1"/>
    <xf numFmtId="43" fontId="2" fillId="11" borderId="12" xfId="0" applyNumberFormat="1" applyFont="1" applyFill="1" applyBorder="1"/>
    <xf numFmtId="0" fontId="0" fillId="11" borderId="13" xfId="0" applyFill="1" applyBorder="1" applyAlignment="1">
      <alignment horizontal="center"/>
    </xf>
    <xf numFmtId="0" fontId="18" fillId="13" borderId="63" xfId="2" applyNumberFormat="1" applyFont="1" applyFill="1" applyBorder="1" applyAlignment="1">
      <alignment horizontal="left" vertical="center"/>
    </xf>
    <xf numFmtId="0" fontId="0" fillId="13" borderId="8" xfId="2" applyNumberFormat="1" applyFont="1" applyFill="1" applyBorder="1" applyAlignment="1">
      <alignment horizontal="right" vertical="center"/>
    </xf>
    <xf numFmtId="0" fontId="6" fillId="13" borderId="11" xfId="2" applyNumberFormat="1" applyFont="1" applyFill="1" applyBorder="1" applyAlignment="1">
      <alignment horizontal="right" vertical="center"/>
    </xf>
    <xf numFmtId="43" fontId="0" fillId="11" borderId="12" xfId="0" applyNumberFormat="1" applyFill="1" applyBorder="1"/>
    <xf numFmtId="0" fontId="13" fillId="6" borderId="0" xfId="0" applyFont="1" applyFill="1"/>
    <xf numFmtId="0" fontId="0" fillId="13" borderId="5" xfId="0" applyFill="1" applyBorder="1"/>
    <xf numFmtId="43" fontId="0" fillId="13" borderId="6" xfId="2" applyFont="1" applyFill="1" applyBorder="1" applyAlignment="1">
      <alignment horizontal="right" vertical="center"/>
    </xf>
    <xf numFmtId="0" fontId="0" fillId="13" borderId="7" xfId="0" applyFill="1" applyBorder="1"/>
    <xf numFmtId="0" fontId="0" fillId="13" borderId="8" xfId="0" applyFill="1" applyBorder="1"/>
    <xf numFmtId="43" fontId="0" fillId="13" borderId="0" xfId="2" applyFont="1" applyFill="1" applyBorder="1" applyAlignment="1">
      <alignment horizontal="right" vertical="center"/>
    </xf>
    <xf numFmtId="0" fontId="0" fillId="13" borderId="9" xfId="0" applyFill="1" applyBorder="1"/>
    <xf numFmtId="0" fontId="0" fillId="13" borderId="11" xfId="0" applyFill="1" applyBorder="1"/>
    <xf numFmtId="0" fontId="0" fillId="13" borderId="13" xfId="0" applyFill="1" applyBorder="1"/>
    <xf numFmtId="0" fontId="18" fillId="13" borderId="8" xfId="2" applyNumberFormat="1" applyFont="1" applyFill="1" applyBorder="1" applyAlignment="1">
      <alignment vertical="center"/>
    </xf>
    <xf numFmtId="0" fontId="18" fillId="13" borderId="6" xfId="2" applyNumberFormat="1" applyFont="1" applyFill="1" applyBorder="1" applyAlignment="1">
      <alignment horizontal="right" vertical="center"/>
    </xf>
    <xf numFmtId="0" fontId="18" fillId="13" borderId="7" xfId="2" applyNumberFormat="1" applyFont="1" applyFill="1" applyBorder="1" applyAlignment="1">
      <alignment vertical="center"/>
    </xf>
    <xf numFmtId="0" fontId="18" fillId="13" borderId="0" xfId="2" applyNumberFormat="1" applyFont="1" applyFill="1" applyBorder="1" applyAlignment="1">
      <alignment horizontal="right" vertical="center"/>
    </xf>
    <xf numFmtId="0" fontId="18" fillId="13" borderId="9" xfId="2" applyNumberFormat="1" applyFont="1" applyFill="1" applyBorder="1" applyAlignment="1">
      <alignment vertical="center"/>
    </xf>
    <xf numFmtId="0" fontId="18" fillId="13" borderId="9" xfId="0" applyFont="1" applyFill="1" applyBorder="1"/>
    <xf numFmtId="0" fontId="18" fillId="13" borderId="11" xfId="2" applyNumberFormat="1" applyFont="1" applyFill="1" applyBorder="1" applyAlignment="1">
      <alignment vertical="center"/>
    </xf>
    <xf numFmtId="0" fontId="18" fillId="13" borderId="12" xfId="2" applyNumberFormat="1" applyFont="1" applyFill="1" applyBorder="1" applyAlignment="1">
      <alignment horizontal="right" vertical="center"/>
    </xf>
    <xf numFmtId="0" fontId="18" fillId="13" borderId="13" xfId="0" applyFont="1" applyFill="1" applyBorder="1"/>
    <xf numFmtId="0" fontId="0" fillId="13" borderId="5" xfId="0" applyFill="1" applyBorder="1" applyAlignment="1">
      <alignment horizontal="right"/>
    </xf>
    <xf numFmtId="0" fontId="0" fillId="13" borderId="0" xfId="2" applyNumberFormat="1" applyFont="1" applyFill="1" applyBorder="1" applyAlignment="1">
      <alignment horizontal="right" vertical="center"/>
    </xf>
    <xf numFmtId="0" fontId="0" fillId="13" borderId="8" xfId="0" applyFill="1" applyBorder="1" applyAlignment="1">
      <alignment horizontal="right"/>
    </xf>
    <xf numFmtId="0" fontId="0" fillId="13" borderId="11" xfId="2" applyNumberFormat="1" applyFont="1" applyFill="1" applyBorder="1" applyAlignment="1">
      <alignment horizontal="right" vertical="center"/>
    </xf>
    <xf numFmtId="0" fontId="0" fillId="13" borderId="12" xfId="2" applyNumberFormat="1" applyFont="1" applyFill="1" applyBorder="1" applyAlignment="1">
      <alignment horizontal="right" vertical="center"/>
    </xf>
    <xf numFmtId="0" fontId="0" fillId="13" borderId="13" xfId="2" applyNumberFormat="1" applyFont="1" applyFill="1" applyBorder="1" applyAlignment="1">
      <alignment vertical="center"/>
    </xf>
    <xf numFmtId="0" fontId="0" fillId="13" borderId="7" xfId="2" applyNumberFormat="1" applyFont="1" applyFill="1" applyBorder="1" applyAlignment="1">
      <alignment vertical="center"/>
    </xf>
    <xf numFmtId="0" fontId="0" fillId="13" borderId="11" xfId="0" applyFill="1" applyBorder="1" applyAlignment="1">
      <alignment horizontal="right"/>
    </xf>
    <xf numFmtId="0" fontId="18" fillId="13" borderId="5" xfId="2" applyNumberFormat="1" applyFont="1" applyFill="1" applyBorder="1" applyAlignment="1">
      <alignment horizontal="right" vertical="center"/>
    </xf>
    <xf numFmtId="1" fontId="18" fillId="13" borderId="6" xfId="2" applyNumberFormat="1" applyFont="1" applyFill="1" applyBorder="1" applyAlignment="1">
      <alignment horizontal="right" vertical="center"/>
    </xf>
    <xf numFmtId="0" fontId="18" fillId="13" borderId="8" xfId="2" applyNumberFormat="1" applyFont="1" applyFill="1" applyBorder="1" applyAlignment="1">
      <alignment horizontal="right" vertical="center"/>
    </xf>
    <xf numFmtId="1" fontId="18" fillId="13" borderId="0" xfId="2" applyNumberFormat="1" applyFont="1" applyFill="1" applyBorder="1" applyAlignment="1">
      <alignment horizontal="right" vertical="center"/>
    </xf>
    <xf numFmtId="0" fontId="18" fillId="13" borderId="13" xfId="2" applyNumberFormat="1" applyFont="1" applyFill="1" applyBorder="1" applyAlignment="1">
      <alignment vertical="center"/>
    </xf>
    <xf numFmtId="43" fontId="18" fillId="13" borderId="7" xfId="2" applyFont="1" applyFill="1" applyBorder="1" applyAlignment="1">
      <alignment vertical="center"/>
    </xf>
    <xf numFmtId="43" fontId="18" fillId="13" borderId="9" xfId="2" applyFont="1" applyFill="1" applyBorder="1" applyAlignment="1">
      <alignment vertical="center"/>
    </xf>
    <xf numFmtId="0" fontId="18" fillId="13" borderId="11" xfId="2" applyNumberFormat="1" applyFont="1" applyFill="1" applyBorder="1" applyAlignment="1">
      <alignment horizontal="right" vertical="center"/>
    </xf>
    <xf numFmtId="43" fontId="18" fillId="13" borderId="13" xfId="2" applyFont="1" applyFill="1" applyBorder="1" applyAlignment="1">
      <alignment vertical="center"/>
    </xf>
    <xf numFmtId="1" fontId="18" fillId="13" borderId="18" xfId="2" applyNumberFormat="1" applyFont="1" applyFill="1" applyBorder="1" applyAlignment="1">
      <alignment horizontal="right" vertical="center"/>
    </xf>
    <xf numFmtId="0" fontId="6" fillId="13" borderId="62" xfId="2" applyNumberFormat="1" applyFont="1" applyFill="1" applyBorder="1" applyAlignment="1">
      <alignment horizontal="left" vertical="center"/>
    </xf>
    <xf numFmtId="0" fontId="13" fillId="6" borderId="12" xfId="0" applyFont="1" applyFill="1" applyBorder="1"/>
    <xf numFmtId="43" fontId="18" fillId="13" borderId="5" xfId="2" applyFont="1" applyFill="1" applyBorder="1" applyAlignment="1">
      <alignment vertical="center"/>
    </xf>
    <xf numFmtId="43" fontId="18" fillId="13" borderId="8" xfId="2" applyFont="1" applyFill="1" applyBorder="1" applyAlignment="1">
      <alignment vertical="center"/>
    </xf>
    <xf numFmtId="43" fontId="18" fillId="13" borderId="0" xfId="2" applyFont="1" applyFill="1" applyBorder="1" applyAlignment="1">
      <alignment vertical="center"/>
    </xf>
    <xf numFmtId="0" fontId="18" fillId="13" borderId="8" xfId="0" applyFont="1" applyFill="1" applyBorder="1"/>
    <xf numFmtId="0" fontId="18" fillId="13" borderId="0" xfId="0" applyFont="1" applyFill="1"/>
    <xf numFmtId="43" fontId="18" fillId="13" borderId="11" xfId="2" applyFont="1" applyFill="1" applyBorder="1" applyAlignment="1">
      <alignment vertical="center"/>
    </xf>
    <xf numFmtId="14" fontId="18" fillId="13" borderId="6" xfId="2" applyNumberFormat="1" applyFont="1" applyFill="1" applyBorder="1" applyAlignment="1">
      <alignment vertical="center"/>
    </xf>
    <xf numFmtId="14" fontId="18" fillId="13" borderId="0" xfId="2" applyNumberFormat="1" applyFont="1" applyFill="1" applyBorder="1" applyAlignment="1">
      <alignment vertical="center"/>
    </xf>
    <xf numFmtId="43" fontId="18" fillId="4" borderId="5" xfId="2" applyFont="1" applyFill="1" applyBorder="1" applyAlignment="1">
      <alignment vertical="center"/>
    </xf>
    <xf numFmtId="43" fontId="18" fillId="4" borderId="8" xfId="2" applyFont="1" applyFill="1" applyBorder="1" applyAlignment="1">
      <alignment vertical="center"/>
    </xf>
    <xf numFmtId="14" fontId="18" fillId="13" borderId="12" xfId="2" applyNumberFormat="1" applyFont="1" applyFill="1" applyBorder="1" applyAlignment="1">
      <alignment horizontal="right" vertical="center"/>
    </xf>
    <xf numFmtId="0" fontId="18" fillId="4" borderId="63" xfId="2" applyNumberFormat="1" applyFont="1" applyFill="1" applyBorder="1" applyAlignment="1">
      <alignment vertical="center"/>
    </xf>
    <xf numFmtId="0" fontId="18" fillId="0" borderId="13" xfId="2" applyNumberFormat="1" applyFont="1" applyBorder="1" applyAlignment="1">
      <alignment vertical="center"/>
    </xf>
    <xf numFmtId="0" fontId="18" fillId="4" borderId="7" xfId="2" applyNumberFormat="1" applyFont="1" applyFill="1" applyBorder="1" applyAlignment="1">
      <alignment vertical="center"/>
    </xf>
    <xf numFmtId="0" fontId="18" fillId="4" borderId="9" xfId="2" applyNumberFormat="1" applyFont="1" applyFill="1" applyBorder="1" applyAlignment="1">
      <alignment vertical="center"/>
    </xf>
    <xf numFmtId="43" fontId="18" fillId="4" borderId="11" xfId="2" applyFont="1" applyFill="1" applyBorder="1" applyAlignment="1">
      <alignment vertical="center"/>
    </xf>
    <xf numFmtId="0" fontId="18" fillId="4" borderId="13" xfId="2" applyNumberFormat="1" applyFont="1" applyFill="1" applyBorder="1" applyAlignment="1">
      <alignment vertical="center"/>
    </xf>
    <xf numFmtId="0" fontId="18" fillId="13" borderId="111" xfId="2" applyNumberFormat="1" applyFont="1" applyFill="1" applyBorder="1" applyAlignment="1">
      <alignment vertical="center"/>
    </xf>
    <xf numFmtId="0" fontId="18" fillId="13" borderId="165" xfId="2" applyNumberFormat="1" applyFont="1" applyFill="1" applyBorder="1" applyAlignment="1">
      <alignment vertical="center"/>
    </xf>
    <xf numFmtId="0" fontId="18" fillId="13" borderId="5" xfId="2" applyNumberFormat="1" applyFont="1" applyFill="1" applyBorder="1" applyAlignment="1">
      <alignment vertical="center"/>
    </xf>
    <xf numFmtId="0" fontId="0" fillId="14" borderId="236" xfId="0" applyFill="1" applyBorder="1"/>
    <xf numFmtId="0" fontId="0" fillId="0" borderId="236" xfId="0" applyBorder="1"/>
    <xf numFmtId="169" fontId="18" fillId="13" borderId="6" xfId="2" applyNumberFormat="1" applyFont="1" applyFill="1" applyBorder="1" applyAlignment="1">
      <alignment vertical="center"/>
    </xf>
    <xf numFmtId="169" fontId="18" fillId="13" borderId="0" xfId="2" applyNumberFormat="1" applyFont="1" applyFill="1" applyAlignment="1">
      <alignment vertical="center"/>
    </xf>
    <xf numFmtId="169" fontId="18" fillId="4" borderId="18" xfId="2" applyNumberFormat="1" applyFont="1" applyFill="1" applyBorder="1" applyAlignment="1">
      <alignment horizontal="right" vertical="center"/>
    </xf>
    <xf numFmtId="169" fontId="18" fillId="13" borderId="12" xfId="2" applyNumberFormat="1" applyFont="1" applyFill="1" applyBorder="1" applyAlignment="1">
      <alignment horizontal="right" vertical="center"/>
    </xf>
    <xf numFmtId="169" fontId="18" fillId="4" borderId="18" xfId="2" applyNumberFormat="1" applyFont="1" applyFill="1" applyBorder="1" applyAlignment="1">
      <alignment vertical="center"/>
    </xf>
    <xf numFmtId="169" fontId="18" fillId="13" borderId="6" xfId="2" applyNumberFormat="1" applyFont="1" applyFill="1" applyBorder="1" applyAlignment="1">
      <alignment horizontal="right" vertical="center"/>
    </xf>
    <xf numFmtId="170" fontId="18" fillId="13" borderId="0" xfId="2" applyNumberFormat="1" applyFont="1" applyFill="1" applyBorder="1" applyAlignment="1">
      <alignment horizontal="right" vertical="center"/>
    </xf>
    <xf numFmtId="170" fontId="18" fillId="13" borderId="12" xfId="5" applyNumberFormat="1" applyFont="1" applyFill="1" applyBorder="1" applyAlignment="1">
      <alignment vertical="center"/>
    </xf>
    <xf numFmtId="169" fontId="18" fillId="13" borderId="0" xfId="2" applyNumberFormat="1" applyFont="1" applyFill="1" applyBorder="1" applyAlignment="1">
      <alignment vertical="center"/>
    </xf>
    <xf numFmtId="169" fontId="18" fillId="13" borderId="0" xfId="0" applyNumberFormat="1" applyFont="1" applyFill="1"/>
    <xf numFmtId="170" fontId="18" fillId="13" borderId="0" xfId="2" applyNumberFormat="1" applyFont="1" applyFill="1" applyBorder="1" applyAlignment="1">
      <alignment vertical="center"/>
    </xf>
    <xf numFmtId="170" fontId="18" fillId="13" borderId="12" xfId="2" applyNumberFormat="1" applyFont="1" applyFill="1" applyBorder="1" applyAlignment="1">
      <alignment vertical="center"/>
    </xf>
    <xf numFmtId="169" fontId="0" fillId="4" borderId="0" xfId="0" applyNumberFormat="1" applyFill="1" applyAlignment="1">
      <alignment horizontal="right"/>
    </xf>
    <xf numFmtId="171" fontId="0" fillId="4" borderId="7" xfId="0" applyNumberFormat="1" applyFill="1" applyBorder="1" applyAlignment="1">
      <alignment horizontal="right"/>
    </xf>
    <xf numFmtId="171" fontId="0" fillId="4" borderId="9" xfId="0" applyNumberFormat="1" applyFill="1" applyBorder="1" applyAlignment="1">
      <alignment horizontal="right"/>
    </xf>
    <xf numFmtId="169" fontId="0" fillId="4" borderId="6" xfId="0" applyNumberFormat="1" applyFill="1" applyBorder="1" applyAlignment="1">
      <alignment horizontal="right"/>
    </xf>
    <xf numFmtId="169" fontId="0" fillId="4" borderId="12" xfId="0" applyNumberFormat="1" applyFill="1" applyBorder="1" applyAlignment="1">
      <alignment horizontal="right"/>
    </xf>
    <xf numFmtId="171" fontId="0" fillId="4" borderId="13" xfId="0" applyNumberFormat="1" applyFill="1" applyBorder="1" applyAlignment="1">
      <alignment horizontal="right"/>
    </xf>
    <xf numFmtId="169" fontId="0" fillId="0" borderId="0" xfId="0" applyNumberFormat="1" applyAlignment="1">
      <alignment horizontal="right"/>
    </xf>
    <xf numFmtId="169" fontId="0" fillId="4" borderId="0" xfId="2" applyNumberFormat="1" applyFont="1" applyFill="1" applyBorder="1" applyAlignment="1">
      <alignment horizontal="right"/>
    </xf>
    <xf numFmtId="171" fontId="18" fillId="13" borderId="93" xfId="2" applyNumberFormat="1" applyFont="1" applyFill="1" applyBorder="1" applyAlignment="1">
      <alignment vertical="center"/>
    </xf>
    <xf numFmtId="169" fontId="0" fillId="4" borderId="6" xfId="0" applyNumberFormat="1" applyFill="1" applyBorder="1"/>
    <xf numFmtId="169" fontId="0" fillId="0" borderId="0" xfId="0" applyNumberFormat="1"/>
    <xf numFmtId="169" fontId="0" fillId="4" borderId="0" xfId="0" applyNumberFormat="1" applyFill="1"/>
    <xf numFmtId="169" fontId="0" fillId="4" borderId="6" xfId="2" applyNumberFormat="1" applyFont="1" applyFill="1" applyBorder="1" applyAlignment="1">
      <alignment vertical="center" wrapText="1"/>
    </xf>
    <xf numFmtId="169" fontId="0" fillId="4" borderId="0" xfId="2" applyNumberFormat="1" applyFont="1" applyFill="1" applyBorder="1" applyAlignment="1">
      <alignment vertical="center" wrapText="1"/>
    </xf>
    <xf numFmtId="169" fontId="6" fillId="4" borderId="18" xfId="2" applyNumberFormat="1" applyFont="1" applyFill="1" applyBorder="1" applyAlignment="1">
      <alignment vertical="center"/>
    </xf>
    <xf numFmtId="169" fontId="0" fillId="4" borderId="0" xfId="2" applyNumberFormat="1" applyFont="1" applyFill="1" applyBorder="1" applyAlignment="1">
      <alignment horizontal="right" vertical="center" wrapText="1"/>
    </xf>
    <xf numFmtId="170" fontId="6" fillId="4" borderId="12" xfId="2" applyNumberFormat="1" applyFont="1" applyFill="1" applyBorder="1" applyAlignment="1">
      <alignment vertical="center" wrapText="1"/>
    </xf>
    <xf numFmtId="169" fontId="0" fillId="4" borderId="0" xfId="0" applyNumberFormat="1" applyFill="1" applyAlignment="1">
      <alignment horizontal="right" vertical="top"/>
    </xf>
    <xf numFmtId="170" fontId="0" fillId="4" borderId="12" xfId="0" applyNumberFormat="1" applyFill="1" applyBorder="1"/>
    <xf numFmtId="170" fontId="0" fillId="0" borderId="0" xfId="0" applyNumberFormat="1"/>
    <xf numFmtId="171" fontId="0" fillId="4" borderId="12" xfId="0" applyNumberFormat="1" applyFill="1" applyBorder="1"/>
    <xf numFmtId="169" fontId="0" fillId="4" borderId="12" xfId="2" applyNumberFormat="1" applyFont="1" applyFill="1" applyBorder="1" applyAlignment="1">
      <alignment horizontal="right"/>
    </xf>
    <xf numFmtId="43" fontId="0" fillId="9" borderId="107" xfId="2" applyFont="1" applyFill="1" applyBorder="1" applyAlignment="1" applyProtection="1">
      <alignment horizontal="right" vertical="center"/>
      <protection locked="0"/>
    </xf>
    <xf numFmtId="0" fontId="10" fillId="9" borderId="165" xfId="0" applyFont="1" applyFill="1" applyBorder="1" applyAlignment="1" applyProtection="1">
      <alignment vertical="center"/>
      <protection locked="0"/>
    </xf>
    <xf numFmtId="43" fontId="6" fillId="4" borderId="5" xfId="2" applyFont="1" applyFill="1" applyBorder="1" applyAlignment="1">
      <alignment horizontal="right" vertical="center"/>
    </xf>
    <xf numFmtId="43" fontId="6" fillId="4" borderId="6" xfId="2" applyFont="1" applyFill="1" applyBorder="1" applyAlignment="1">
      <alignment horizontal="right" vertical="center"/>
    </xf>
    <xf numFmtId="43" fontId="0" fillId="4" borderId="11" xfId="2" applyFont="1" applyFill="1" applyBorder="1" applyAlignment="1">
      <alignment horizontal="right" vertical="center"/>
    </xf>
    <xf numFmtId="43" fontId="0" fillId="4" borderId="12" xfId="2" applyFont="1" applyFill="1" applyBorder="1" applyAlignment="1">
      <alignment horizontal="right" vertical="center"/>
    </xf>
    <xf numFmtId="0" fontId="9" fillId="2" borderId="2" xfId="0" applyFont="1" applyFill="1" applyBorder="1" applyAlignment="1">
      <alignment vertical="center" wrapText="1"/>
    </xf>
    <xf numFmtId="0" fontId="0" fillId="4" borderId="167" xfId="2" applyNumberFormat="1" applyFont="1" applyFill="1" applyBorder="1" applyAlignment="1" applyProtection="1">
      <alignment horizontal="left" vertical="center"/>
      <protection locked="0"/>
    </xf>
    <xf numFmtId="0" fontId="0" fillId="4" borderId="166" xfId="2" applyNumberFormat="1" applyFont="1" applyFill="1" applyBorder="1" applyAlignment="1" applyProtection="1">
      <alignment horizontal="left" vertical="center"/>
      <protection locked="0"/>
    </xf>
    <xf numFmtId="43" fontId="11" fillId="0" borderId="156" xfId="2" applyFont="1" applyFill="1" applyBorder="1" applyAlignment="1">
      <alignment vertical="center"/>
    </xf>
    <xf numFmtId="43" fontId="11" fillId="0" borderId="155" xfId="2" applyFont="1" applyFill="1" applyBorder="1" applyAlignment="1">
      <alignment vertical="center"/>
    </xf>
    <xf numFmtId="43" fontId="18" fillId="4" borderId="49" xfId="2" applyFont="1" applyFill="1" applyBorder="1" applyAlignment="1" applyProtection="1">
      <alignment vertical="center"/>
      <protection locked="0"/>
    </xf>
    <xf numFmtId="43" fontId="18" fillId="4" borderId="36" xfId="2" applyFont="1" applyFill="1" applyBorder="1" applyAlignment="1" applyProtection="1">
      <alignment vertical="center"/>
      <protection locked="0"/>
    </xf>
    <xf numFmtId="43" fontId="0" fillId="4" borderId="8" xfId="2" applyFont="1" applyFill="1" applyBorder="1" applyAlignment="1" applyProtection="1">
      <alignment horizontal="right" vertical="center"/>
      <protection locked="0"/>
    </xf>
    <xf numFmtId="11" fontId="0" fillId="0" borderId="0" xfId="0" applyNumberFormat="1" applyAlignment="1">
      <alignment vertical="center" wrapText="1"/>
    </xf>
    <xf numFmtId="0" fontId="0" fillId="13" borderId="111" xfId="2" applyNumberFormat="1" applyFont="1" applyFill="1" applyBorder="1" applyAlignment="1">
      <alignment horizontal="right" vertical="center"/>
    </xf>
    <xf numFmtId="14" fontId="0" fillId="13" borderId="6" xfId="2" applyNumberFormat="1" applyFont="1" applyFill="1" applyBorder="1" applyAlignment="1">
      <alignment horizontal="right" vertical="center"/>
    </xf>
    <xf numFmtId="14" fontId="0" fillId="13" borderId="0" xfId="2" applyNumberFormat="1" applyFont="1" applyFill="1" applyBorder="1" applyAlignment="1">
      <alignment horizontal="right" vertical="center"/>
    </xf>
    <xf numFmtId="170" fontId="0" fillId="13" borderId="0" xfId="2" applyNumberFormat="1" applyFont="1" applyFill="1" applyBorder="1" applyAlignment="1">
      <alignment horizontal="right" vertical="center"/>
    </xf>
    <xf numFmtId="170" fontId="0" fillId="13" borderId="0" xfId="0" applyNumberFormat="1" applyFill="1" applyAlignment="1">
      <alignment horizontal="right"/>
    </xf>
    <xf numFmtId="170" fontId="0" fillId="13" borderId="12" xfId="2" applyNumberFormat="1" applyFont="1" applyFill="1" applyBorder="1" applyAlignment="1">
      <alignment horizontal="right" vertical="center"/>
    </xf>
    <xf numFmtId="170" fontId="18" fillId="13" borderId="12" xfId="2" applyNumberFormat="1" applyFont="1" applyFill="1" applyBorder="1" applyAlignment="1">
      <alignment horizontal="right" vertical="center"/>
    </xf>
    <xf numFmtId="171" fontId="0" fillId="13" borderId="7" xfId="0" applyNumberFormat="1" applyFill="1" applyBorder="1"/>
    <xf numFmtId="171" fontId="0" fillId="13" borderId="9" xfId="2" applyNumberFormat="1" applyFont="1" applyFill="1" applyBorder="1" applyAlignment="1">
      <alignment vertical="center"/>
    </xf>
    <xf numFmtId="171" fontId="0" fillId="13" borderId="9" xfId="0" applyNumberFormat="1" applyFill="1" applyBorder="1"/>
    <xf numFmtId="171" fontId="0" fillId="13" borderId="13" xfId="2" applyNumberFormat="1" applyFont="1" applyFill="1" applyBorder="1" applyAlignment="1">
      <alignment vertical="center"/>
    </xf>
    <xf numFmtId="171" fontId="0" fillId="13" borderId="165" xfId="2" applyNumberFormat="1" applyFont="1" applyFill="1" applyBorder="1" applyAlignment="1">
      <alignment vertical="center"/>
    </xf>
    <xf numFmtId="171" fontId="18" fillId="13" borderId="12" xfId="2" applyNumberFormat="1" applyFont="1" applyFill="1" applyBorder="1" applyAlignment="1">
      <alignment vertical="center"/>
    </xf>
    <xf numFmtId="171" fontId="18" fillId="13" borderId="12" xfId="2" applyNumberFormat="1" applyFont="1" applyFill="1" applyBorder="1" applyAlignment="1">
      <alignment horizontal="right" vertical="center"/>
    </xf>
    <xf numFmtId="169" fontId="18" fillId="13" borderId="0" xfId="2" applyNumberFormat="1" applyFont="1" applyFill="1" applyBorder="1" applyAlignment="1">
      <alignment horizontal="right" vertical="center"/>
    </xf>
    <xf numFmtId="169" fontId="18" fillId="13" borderId="0" xfId="0" applyNumberFormat="1" applyFont="1" applyFill="1" applyAlignment="1">
      <alignment horizontal="right"/>
    </xf>
    <xf numFmtId="169" fontId="0" fillId="13" borderId="6" xfId="0" applyNumberFormat="1" applyFill="1" applyBorder="1" applyAlignment="1">
      <alignment horizontal="right"/>
    </xf>
    <xf numFmtId="169" fontId="0" fillId="13" borderId="0" xfId="2" applyNumberFormat="1" applyFont="1" applyFill="1" applyBorder="1" applyAlignment="1">
      <alignment horizontal="right" vertical="center"/>
    </xf>
    <xf numFmtId="169" fontId="0" fillId="13" borderId="0" xfId="2" applyNumberFormat="1" applyFont="1" applyFill="1" applyBorder="1" applyAlignment="1">
      <alignment horizontal="right"/>
    </xf>
    <xf numFmtId="169" fontId="0" fillId="13" borderId="0" xfId="0" applyNumberFormat="1" applyFill="1" applyAlignment="1">
      <alignment horizontal="right"/>
    </xf>
    <xf numFmtId="169" fontId="0" fillId="13" borderId="12" xfId="2" applyNumberFormat="1" applyFont="1" applyFill="1" applyBorder="1" applyAlignment="1">
      <alignment horizontal="right" vertical="center"/>
    </xf>
    <xf numFmtId="169" fontId="0" fillId="13" borderId="93" xfId="2" applyNumberFormat="1" applyFont="1" applyFill="1" applyBorder="1" applyAlignment="1">
      <alignment horizontal="right" vertical="center"/>
    </xf>
    <xf numFmtId="169" fontId="0" fillId="13" borderId="6" xfId="2" applyNumberFormat="1" applyFont="1" applyFill="1" applyBorder="1" applyAlignment="1">
      <alignment horizontal="right" vertical="center"/>
    </xf>
    <xf numFmtId="0" fontId="18" fillId="4" borderId="5" xfId="2" applyNumberFormat="1" applyFont="1" applyFill="1" applyBorder="1" applyAlignment="1">
      <alignment vertical="center"/>
    </xf>
    <xf numFmtId="0" fontId="18" fillId="4" borderId="8" xfId="2" applyNumberFormat="1" applyFont="1" applyFill="1" applyBorder="1" applyAlignment="1">
      <alignment vertical="center"/>
    </xf>
    <xf numFmtId="43" fontId="18" fillId="4" borderId="37" xfId="2" applyFont="1" applyFill="1" applyBorder="1" applyAlignment="1" applyProtection="1">
      <alignment vertical="center"/>
      <protection locked="0"/>
    </xf>
    <xf numFmtId="43" fontId="0" fillId="0" borderId="7" xfId="2" applyFont="1" applyFill="1" applyBorder="1" applyAlignment="1">
      <alignment horizontal="center" vertical="center"/>
    </xf>
    <xf numFmtId="43" fontId="0" fillId="0" borderId="13" xfId="2" applyFont="1" applyFill="1" applyBorder="1" applyAlignment="1">
      <alignment horizontal="center" vertical="center"/>
    </xf>
    <xf numFmtId="0" fontId="0" fillId="0" borderId="155" xfId="0" applyBorder="1"/>
    <xf numFmtId="0" fontId="0" fillId="0" borderId="85" xfId="0" applyBorder="1"/>
    <xf numFmtId="0" fontId="0" fillId="0" borderId="156" xfId="0" applyBorder="1"/>
    <xf numFmtId="0" fontId="0" fillId="0" borderId="5" xfId="0" applyBorder="1"/>
    <xf numFmtId="0" fontId="31" fillId="0" borderId="0" xfId="4" applyBorder="1"/>
    <xf numFmtId="43" fontId="12" fillId="0" borderId="9" xfId="2" applyFont="1" applyFill="1" applyBorder="1" applyAlignment="1">
      <alignment horizontal="center" vertical="center"/>
    </xf>
    <xf numFmtId="43" fontId="1" fillId="3" borderId="9" xfId="2" applyFont="1" applyFill="1" applyBorder="1" applyAlignment="1">
      <alignment horizontal="center" vertical="center"/>
    </xf>
    <xf numFmtId="0" fontId="0" fillId="0" borderId="6" xfId="0" applyBorder="1"/>
    <xf numFmtId="43" fontId="12" fillId="11" borderId="12" xfId="2" applyFont="1" applyFill="1" applyBorder="1" applyAlignment="1">
      <alignment horizontal="right" vertical="center"/>
    </xf>
    <xf numFmtId="0" fontId="5" fillId="11" borderId="12" xfId="0" applyFont="1" applyFill="1" applyBorder="1" applyAlignment="1">
      <alignment horizontal="right"/>
    </xf>
    <xf numFmtId="43" fontId="12" fillId="11" borderId="0" xfId="2" applyFont="1" applyFill="1" applyAlignment="1">
      <alignment horizontal="left" vertical="center"/>
    </xf>
    <xf numFmtId="43" fontId="5" fillId="11" borderId="12" xfId="0" applyNumberFormat="1" applyFont="1" applyFill="1" applyBorder="1" applyAlignment="1">
      <alignment horizontal="right"/>
    </xf>
    <xf numFmtId="43" fontId="20" fillId="11" borderId="12" xfId="2" applyFont="1" applyFill="1" applyBorder="1" applyAlignment="1">
      <alignment horizontal="right" vertical="center"/>
    </xf>
    <xf numFmtId="0" fontId="5" fillId="11" borderId="12" xfId="0" applyFont="1" applyFill="1" applyBorder="1" applyAlignment="1">
      <alignment horizontal="right" vertical="center"/>
    </xf>
    <xf numFmtId="0" fontId="12" fillId="11" borderId="12" xfId="2" applyNumberFormat="1" applyFont="1" applyFill="1" applyBorder="1" applyAlignment="1">
      <alignment vertical="center"/>
    </xf>
    <xf numFmtId="43" fontId="32" fillId="5" borderId="8" xfId="2" applyFont="1" applyFill="1" applyBorder="1" applyAlignment="1" applyProtection="1">
      <alignment vertical="center"/>
      <protection locked="0"/>
    </xf>
    <xf numFmtId="43" fontId="18" fillId="9" borderId="192" xfId="2" applyFont="1" applyFill="1" applyBorder="1" applyAlignment="1" applyProtection="1">
      <alignment vertical="center"/>
      <protection locked="0"/>
    </xf>
    <xf numFmtId="43" fontId="18" fillId="9" borderId="41" xfId="2" applyFont="1" applyFill="1" applyBorder="1" applyAlignment="1" applyProtection="1">
      <alignment vertical="center"/>
      <protection locked="0"/>
    </xf>
    <xf numFmtId="43" fontId="18" fillId="9" borderId="78" xfId="2" applyFont="1" applyFill="1" applyBorder="1" applyAlignment="1" applyProtection="1">
      <alignment vertical="center"/>
      <protection locked="0"/>
    </xf>
    <xf numFmtId="43" fontId="18" fillId="9" borderId="44" xfId="2" applyFont="1" applyFill="1" applyBorder="1" applyAlignment="1" applyProtection="1">
      <alignment vertical="center"/>
      <protection locked="0"/>
    </xf>
    <xf numFmtId="43" fontId="18" fillId="9" borderId="160" xfId="2" applyFont="1" applyFill="1" applyBorder="1" applyAlignment="1" applyProtection="1">
      <alignment vertical="center"/>
      <protection locked="0"/>
    </xf>
    <xf numFmtId="43" fontId="18" fillId="9" borderId="40" xfId="2" applyFont="1" applyFill="1" applyBorder="1" applyAlignment="1" applyProtection="1">
      <alignment vertical="center"/>
      <protection locked="0"/>
    </xf>
    <xf numFmtId="0" fontId="0" fillId="7" borderId="16" xfId="2" applyNumberFormat="1" applyFont="1" applyFill="1" applyBorder="1" applyAlignment="1">
      <alignment vertical="center" wrapText="1"/>
    </xf>
    <xf numFmtId="0" fontId="0" fillId="7" borderId="15" xfId="2" applyNumberFormat="1" applyFont="1" applyFill="1" applyBorder="1" applyAlignment="1">
      <alignment vertical="center"/>
    </xf>
    <xf numFmtId="43" fontId="18" fillId="9" borderId="68" xfId="2" applyFont="1" applyFill="1" applyBorder="1" applyAlignment="1" applyProtection="1">
      <alignment vertical="center"/>
      <protection locked="0"/>
    </xf>
    <xf numFmtId="43" fontId="32" fillId="7" borderId="8" xfId="2" applyFont="1" applyFill="1" applyBorder="1" applyAlignment="1" applyProtection="1">
      <alignment vertical="center"/>
      <protection locked="0"/>
    </xf>
    <xf numFmtId="43" fontId="18" fillId="9" borderId="69" xfId="2" applyFont="1" applyFill="1" applyBorder="1" applyAlignment="1" applyProtection="1">
      <alignment vertical="center"/>
      <protection locked="0"/>
    </xf>
    <xf numFmtId="43" fontId="18" fillId="9" borderId="70" xfId="2" applyFont="1" applyFill="1" applyBorder="1" applyAlignment="1" applyProtection="1">
      <alignment vertical="center"/>
      <protection locked="0"/>
    </xf>
    <xf numFmtId="169" fontId="18" fillId="13" borderId="93" xfId="2" applyNumberFormat="1" applyFont="1" applyFill="1" applyBorder="1" applyAlignment="1">
      <alignment horizontal="right" vertical="center"/>
    </xf>
    <xf numFmtId="0" fontId="18" fillId="13" borderId="111" xfId="2" applyNumberFormat="1" applyFont="1" applyFill="1" applyBorder="1" applyAlignment="1">
      <alignment horizontal="right" vertical="center"/>
    </xf>
    <xf numFmtId="171" fontId="18" fillId="13" borderId="165" xfId="2" applyNumberFormat="1" applyFont="1" applyFill="1" applyBorder="1" applyAlignment="1">
      <alignment horizontal="right" vertical="center"/>
    </xf>
    <xf numFmtId="0" fontId="33" fillId="2" borderId="0" xfId="0" applyFont="1" applyFill="1" applyAlignment="1">
      <alignment vertical="center"/>
    </xf>
    <xf numFmtId="0" fontId="0" fillId="7" borderId="16" xfId="2" applyNumberFormat="1" applyFont="1" applyFill="1" applyBorder="1" applyAlignment="1">
      <alignment vertical="center"/>
    </xf>
    <xf numFmtId="0" fontId="0" fillId="7" borderId="0" xfId="2" applyNumberFormat="1" applyFont="1" applyFill="1" applyBorder="1" applyAlignment="1">
      <alignment vertical="center"/>
    </xf>
    <xf numFmtId="0" fontId="0" fillId="7" borderId="0" xfId="2" applyNumberFormat="1" applyFont="1" applyFill="1" applyAlignment="1">
      <alignment vertical="center"/>
    </xf>
    <xf numFmtId="0" fontId="0" fillId="5" borderId="0" xfId="2" applyNumberFormat="1" applyFont="1" applyFill="1" applyBorder="1" applyAlignment="1">
      <alignment vertical="center"/>
    </xf>
    <xf numFmtId="0" fontId="0" fillId="7" borderId="0" xfId="2" applyNumberFormat="1" applyFont="1" applyFill="1" applyAlignment="1">
      <alignment vertical="center" wrapText="1"/>
    </xf>
    <xf numFmtId="43" fontId="1" fillId="0" borderId="9" xfId="2" applyFont="1" applyFill="1" applyBorder="1" applyAlignment="1">
      <alignment horizontal="left" vertical="center"/>
    </xf>
    <xf numFmtId="43" fontId="11" fillId="0" borderId="165" xfId="2" applyFont="1" applyFill="1" applyBorder="1" applyAlignment="1">
      <alignment vertical="center"/>
    </xf>
    <xf numFmtId="0" fontId="31" fillId="0" borderId="0" xfId="4"/>
    <xf numFmtId="43" fontId="0" fillId="0" borderId="156" xfId="0" applyNumberFormat="1" applyBorder="1"/>
    <xf numFmtId="43" fontId="20" fillId="12" borderId="0" xfId="2" applyFont="1" applyFill="1" applyBorder="1" applyAlignment="1">
      <alignment horizontal="center" vertical="center"/>
    </xf>
    <xf numFmtId="43" fontId="0" fillId="5" borderId="1" xfId="2" applyFont="1" applyFill="1" applyBorder="1" applyAlignment="1">
      <alignment vertical="center"/>
    </xf>
    <xf numFmtId="0" fontId="0" fillId="7" borderId="2" xfId="2" applyNumberFormat="1" applyFont="1" applyFill="1" applyBorder="1" applyAlignment="1">
      <alignment vertical="center"/>
    </xf>
    <xf numFmtId="0" fontId="0" fillId="7" borderId="3" xfId="2" applyNumberFormat="1" applyFont="1" applyFill="1" applyBorder="1" applyAlignment="1">
      <alignment vertical="center"/>
    </xf>
    <xf numFmtId="43" fontId="0" fillId="5" borderId="237" xfId="2" applyFont="1" applyFill="1" applyBorder="1" applyAlignment="1">
      <alignment vertical="center"/>
    </xf>
    <xf numFmtId="0" fontId="6" fillId="7" borderId="0" xfId="2" applyNumberFormat="1" applyFont="1" applyFill="1" applyBorder="1" applyAlignment="1">
      <alignment vertical="center"/>
    </xf>
    <xf numFmtId="43" fontId="0" fillId="5" borderId="22" xfId="2" applyFont="1" applyFill="1" applyBorder="1" applyAlignment="1">
      <alignment vertical="center"/>
    </xf>
    <xf numFmtId="43" fontId="0" fillId="5" borderId="31" xfId="2" applyFont="1" applyFill="1" applyBorder="1" applyAlignment="1">
      <alignment vertical="center"/>
    </xf>
    <xf numFmtId="43" fontId="0" fillId="5" borderId="23" xfId="2" applyFont="1" applyFill="1" applyBorder="1" applyAlignment="1">
      <alignment vertical="center"/>
    </xf>
    <xf numFmtId="43" fontId="12" fillId="0" borderId="102" xfId="2" applyFont="1" applyFill="1" applyBorder="1" applyAlignment="1">
      <alignment horizontal="left" vertical="center"/>
    </xf>
    <xf numFmtId="43" fontId="1" fillId="3" borderId="111" xfId="2" applyFont="1" applyFill="1" applyBorder="1" applyAlignment="1">
      <alignment vertical="center"/>
    </xf>
    <xf numFmtId="0" fontId="13" fillId="0" borderId="0" xfId="0" applyFont="1" applyAlignment="1">
      <alignment horizontal="left" vertical="center" wrapText="1"/>
    </xf>
    <xf numFmtId="166" fontId="11" fillId="0" borderId="0" xfId="2" applyNumberFormat="1" applyFont="1" applyFill="1" applyBorder="1" applyAlignment="1">
      <alignment vertical="center"/>
    </xf>
    <xf numFmtId="166" fontId="11" fillId="0" borderId="6" xfId="2" applyNumberFormat="1" applyFont="1" applyFill="1" applyBorder="1" applyAlignment="1">
      <alignment vertical="center"/>
    </xf>
    <xf numFmtId="166" fontId="11" fillId="0" borderId="12" xfId="2" applyNumberFormat="1" applyFont="1" applyFill="1" applyBorder="1" applyAlignment="1">
      <alignment vertical="center"/>
    </xf>
    <xf numFmtId="166" fontId="0" fillId="0" borderId="236" xfId="0" applyNumberFormat="1" applyBorder="1"/>
    <xf numFmtId="0" fontId="0" fillId="15" borderId="5" xfId="0" applyFill="1" applyBorder="1"/>
    <xf numFmtId="0" fontId="0" fillId="15" borderId="6" xfId="0" applyFill="1" applyBorder="1"/>
    <xf numFmtId="0" fontId="0" fillId="15" borderId="7" xfId="0" applyFill="1" applyBorder="1"/>
    <xf numFmtId="0" fontId="0" fillId="15" borderId="8" xfId="0" applyFill="1" applyBorder="1"/>
    <xf numFmtId="0" fontId="0" fillId="15" borderId="0" xfId="0" applyFill="1"/>
    <xf numFmtId="0" fontId="0" fillId="15" borderId="9" xfId="0" applyFill="1" applyBorder="1"/>
    <xf numFmtId="0" fontId="0" fillId="15" borderId="11" xfId="0" applyFill="1" applyBorder="1"/>
    <xf numFmtId="0" fontId="0" fillId="15" borderId="12" xfId="0" applyFill="1" applyBorder="1"/>
    <xf numFmtId="0" fontId="0" fillId="15" borderId="13" xfId="0" applyFill="1" applyBorder="1"/>
    <xf numFmtId="0" fontId="35" fillId="15" borderId="0" xfId="6" applyFont="1" applyFill="1" applyBorder="1"/>
    <xf numFmtId="9" fontId="0" fillId="15" borderId="9" xfId="1" applyFont="1" applyFill="1" applyBorder="1"/>
    <xf numFmtId="9" fontId="0" fillId="15" borderId="13" xfId="1" applyFont="1" applyFill="1" applyBorder="1"/>
    <xf numFmtId="43" fontId="0" fillId="4" borderId="22" xfId="2" applyFont="1" applyFill="1" applyBorder="1" applyAlignment="1" applyProtection="1">
      <alignment horizontal="right" vertical="center" wrapText="1"/>
      <protection locked="0"/>
    </xf>
    <xf numFmtId="43" fontId="0" fillId="4" borderId="241" xfId="2" applyFont="1" applyFill="1" applyBorder="1" applyAlignment="1" applyProtection="1">
      <alignment horizontal="right" vertical="center" wrapText="1"/>
      <protection locked="0"/>
    </xf>
    <xf numFmtId="165" fontId="2" fillId="0" borderId="5" xfId="2" applyNumberFormat="1" applyFont="1" applyBorder="1" applyAlignment="1">
      <alignment vertical="center"/>
    </xf>
    <xf numFmtId="165" fontId="2" fillId="0" borderId="11" xfId="2" applyNumberFormat="1" applyFont="1" applyBorder="1" applyAlignment="1">
      <alignment vertical="center"/>
    </xf>
    <xf numFmtId="43" fontId="1" fillId="3" borderId="243" xfId="2" applyFont="1" applyFill="1" applyBorder="1" applyAlignment="1">
      <alignment vertical="center"/>
    </xf>
    <xf numFmtId="43" fontId="0" fillId="9" borderId="139" xfId="2" applyFont="1" applyFill="1" applyBorder="1" applyAlignment="1" applyProtection="1">
      <alignment horizontal="right" vertical="center"/>
      <protection locked="0"/>
    </xf>
    <xf numFmtId="43" fontId="0" fillId="10" borderId="245" xfId="2" applyFont="1" applyFill="1" applyBorder="1" applyAlignment="1" applyProtection="1">
      <alignment vertical="center"/>
      <protection locked="0"/>
    </xf>
    <xf numFmtId="0" fontId="0" fillId="13" borderId="0" xfId="0" applyFill="1"/>
    <xf numFmtId="0" fontId="0" fillId="16" borderId="252" xfId="0" applyFill="1" applyBorder="1"/>
    <xf numFmtId="0" fontId="0" fillId="16" borderId="253" xfId="0" applyFill="1" applyBorder="1"/>
    <xf numFmtId="0" fontId="0" fillId="16" borderId="254" xfId="0" applyFill="1" applyBorder="1"/>
    <xf numFmtId="0" fontId="0" fillId="16" borderId="255" xfId="0" applyFill="1" applyBorder="1"/>
    <xf numFmtId="0" fontId="0" fillId="16" borderId="0" xfId="0" applyFill="1"/>
    <xf numFmtId="0" fontId="0" fillId="16" borderId="256" xfId="0" applyFill="1" applyBorder="1"/>
    <xf numFmtId="0" fontId="0" fillId="16" borderId="257" xfId="0" applyFill="1" applyBorder="1"/>
    <xf numFmtId="0" fontId="0" fillId="16" borderId="258" xfId="0" applyFill="1" applyBorder="1"/>
    <xf numFmtId="0" fontId="0" fillId="16" borderId="259" xfId="0" applyFill="1" applyBorder="1"/>
    <xf numFmtId="0" fontId="6" fillId="16" borderId="255" xfId="0" applyFont="1" applyFill="1" applyBorder="1"/>
    <xf numFmtId="0" fontId="6" fillId="16" borderId="0" xfId="0" applyFont="1" applyFill="1"/>
    <xf numFmtId="0" fontId="36" fillId="13" borderId="251" xfId="7" applyFill="1"/>
    <xf numFmtId="0" fontId="37" fillId="16" borderId="0" xfId="0" applyFont="1" applyFill="1"/>
    <xf numFmtId="0" fontId="4" fillId="16" borderId="255" xfId="0" applyFont="1" applyFill="1" applyBorder="1"/>
    <xf numFmtId="0" fontId="4" fillId="16" borderId="0" xfId="0" applyFont="1" applyFill="1"/>
    <xf numFmtId="173" fontId="39" fillId="16" borderId="0" xfId="0" applyNumberFormat="1" applyFont="1" applyFill="1"/>
    <xf numFmtId="0" fontId="38" fillId="16" borderId="0" xfId="0" applyFont="1" applyFill="1"/>
    <xf numFmtId="0" fontId="37" fillId="16" borderId="255" xfId="0" applyFont="1" applyFill="1" applyBorder="1"/>
    <xf numFmtId="170" fontId="6" fillId="4" borderId="0" xfId="2" applyNumberFormat="1" applyFont="1" applyFill="1" applyBorder="1" applyAlignment="1">
      <alignment vertical="center" wrapText="1"/>
    </xf>
    <xf numFmtId="43" fontId="2" fillId="4" borderId="5" xfId="2" applyFont="1" applyFill="1" applyBorder="1" applyAlignment="1">
      <alignment vertical="center"/>
    </xf>
    <xf numFmtId="43" fontId="2" fillId="4" borderId="8" xfId="2" applyFont="1" applyFill="1" applyBorder="1" applyAlignment="1">
      <alignment vertical="center"/>
    </xf>
    <xf numFmtId="43" fontId="2" fillId="4" borderId="11" xfId="2" applyFont="1" applyFill="1" applyBorder="1" applyAlignment="1">
      <alignment vertical="center"/>
    </xf>
    <xf numFmtId="43" fontId="2" fillId="4" borderId="184" xfId="2" applyFont="1" applyFill="1" applyBorder="1" applyAlignment="1">
      <alignment vertical="center"/>
    </xf>
    <xf numFmtId="43" fontId="2" fillId="4" borderId="195" xfId="2" applyFont="1" applyFill="1" applyBorder="1" applyAlignment="1">
      <alignment vertical="center"/>
    </xf>
    <xf numFmtId="43" fontId="2" fillId="4" borderId="260" xfId="2" applyFont="1" applyFill="1" applyBorder="1" applyAlignment="1">
      <alignment vertical="center"/>
    </xf>
    <xf numFmtId="0" fontId="6" fillId="5" borderId="9" xfId="0" applyFont="1" applyFill="1" applyBorder="1"/>
    <xf numFmtId="0" fontId="0" fillId="5" borderId="85" xfId="0" applyFill="1" applyBorder="1"/>
    <xf numFmtId="43" fontId="6" fillId="5" borderId="9" xfId="2" applyFont="1" applyFill="1" applyBorder="1" applyAlignment="1">
      <alignment vertical="center"/>
    </xf>
    <xf numFmtId="43" fontId="18" fillId="13" borderId="12" xfId="2" applyFont="1" applyFill="1" applyBorder="1" applyAlignment="1">
      <alignment vertical="center"/>
    </xf>
    <xf numFmtId="43" fontId="6" fillId="5" borderId="13" xfId="2" applyFont="1" applyFill="1" applyBorder="1" applyAlignment="1">
      <alignment vertical="center"/>
    </xf>
    <xf numFmtId="0" fontId="0" fillId="5" borderId="156" xfId="0" applyFill="1" applyBorder="1"/>
    <xf numFmtId="0" fontId="6" fillId="5" borderId="13" xfId="0" applyFont="1" applyFill="1" applyBorder="1"/>
    <xf numFmtId="43" fontId="18" fillId="4" borderId="92" xfId="2" applyFont="1" applyFill="1" applyBorder="1" applyAlignment="1">
      <alignment vertical="center"/>
    </xf>
    <xf numFmtId="0" fontId="36" fillId="13" borderId="251" xfId="7" applyFill="1" applyAlignment="1">
      <alignment horizontal="left"/>
    </xf>
    <xf numFmtId="0" fontId="0" fillId="4" borderId="13" xfId="2" applyNumberFormat="1" applyFont="1" applyFill="1" applyBorder="1" applyAlignment="1">
      <alignment horizontal="left" vertical="center"/>
    </xf>
    <xf numFmtId="43" fontId="18" fillId="4" borderId="261" xfId="2" applyFont="1" applyFill="1" applyBorder="1" applyAlignment="1">
      <alignment vertical="center"/>
    </xf>
    <xf numFmtId="43" fontId="0" fillId="4" borderId="262" xfId="2" applyFont="1" applyFill="1" applyBorder="1" applyAlignment="1">
      <alignment vertical="center"/>
    </xf>
    <xf numFmtId="43" fontId="0" fillId="4" borderId="263" xfId="2" applyFont="1" applyFill="1" applyBorder="1" applyAlignment="1">
      <alignment vertical="center"/>
    </xf>
    <xf numFmtId="43" fontId="0" fillId="4" borderId="264" xfId="2" applyFont="1" applyFill="1" applyBorder="1" applyAlignment="1">
      <alignment vertical="center"/>
    </xf>
    <xf numFmtId="43" fontId="0" fillId="4" borderId="265" xfId="2" applyFont="1" applyFill="1" applyBorder="1" applyAlignment="1">
      <alignment vertical="center"/>
    </xf>
    <xf numFmtId="43" fontId="0" fillId="4" borderId="261" xfId="2" applyFont="1" applyFill="1" applyBorder="1" applyAlignment="1">
      <alignment vertical="center"/>
    </xf>
    <xf numFmtId="43" fontId="2" fillId="0" borderId="2" xfId="2" applyFont="1" applyBorder="1" applyAlignment="1">
      <alignment vertical="center"/>
    </xf>
    <xf numFmtId="43" fontId="2" fillId="0" borderId="97" xfId="2" applyFont="1" applyBorder="1" applyAlignment="1">
      <alignment vertical="center"/>
    </xf>
    <xf numFmtId="43" fontId="2" fillId="0" borderId="23" xfId="2" applyFont="1" applyBorder="1" applyAlignment="1">
      <alignment vertical="center"/>
    </xf>
    <xf numFmtId="0" fontId="42" fillId="0" borderId="0" xfId="0" applyFont="1" applyAlignment="1">
      <alignment vertical="top" wrapText="1"/>
    </xf>
    <xf numFmtId="43" fontId="0" fillId="17" borderId="75" xfId="2" applyFont="1" applyFill="1" applyBorder="1" applyAlignment="1" applyProtection="1">
      <alignment vertical="center"/>
      <protection locked="0"/>
    </xf>
    <xf numFmtId="43" fontId="0" fillId="17" borderId="7" xfId="2" applyFont="1" applyFill="1" applyBorder="1" applyAlignment="1">
      <alignment vertical="center"/>
    </xf>
    <xf numFmtId="43" fontId="0" fillId="17" borderId="216" xfId="2" applyFont="1" applyFill="1" applyBorder="1" applyAlignment="1">
      <alignment vertical="center"/>
    </xf>
    <xf numFmtId="43" fontId="10" fillId="17" borderId="96" xfId="2" applyFont="1" applyFill="1" applyBorder="1" applyAlignment="1">
      <alignment vertical="center"/>
    </xf>
    <xf numFmtId="43" fontId="0" fillId="17" borderId="226" xfId="2" applyFont="1" applyFill="1" applyBorder="1" applyAlignment="1">
      <alignment vertical="center"/>
    </xf>
    <xf numFmtId="43" fontId="0" fillId="17" borderId="225" xfId="2" applyFont="1" applyFill="1" applyBorder="1" applyAlignment="1">
      <alignment vertical="center"/>
    </xf>
    <xf numFmtId="43" fontId="0" fillId="17" borderId="5" xfId="2" applyFont="1" applyFill="1" applyBorder="1" applyAlignment="1" applyProtection="1">
      <alignment vertical="center"/>
    </xf>
    <xf numFmtId="43" fontId="0" fillId="17" borderId="139" xfId="2" applyFont="1" applyFill="1" applyBorder="1" applyAlignment="1" applyProtection="1">
      <alignment vertical="center"/>
    </xf>
    <xf numFmtId="43" fontId="0" fillId="17" borderId="214" xfId="2" applyFont="1" applyFill="1" applyBorder="1" applyAlignment="1">
      <alignment vertical="center"/>
    </xf>
    <xf numFmtId="43" fontId="0" fillId="17" borderId="45" xfId="2" applyFont="1" applyFill="1" applyBorder="1" applyAlignment="1">
      <alignment vertical="center"/>
    </xf>
    <xf numFmtId="43" fontId="0" fillId="17" borderId="204" xfId="2" applyFont="1" applyFill="1" applyBorder="1" applyAlignment="1">
      <alignment vertical="center"/>
    </xf>
    <xf numFmtId="43" fontId="0" fillId="17" borderId="162" xfId="2" applyFont="1" applyFill="1" applyBorder="1" applyAlignment="1">
      <alignment vertical="center"/>
    </xf>
    <xf numFmtId="43" fontId="0" fillId="17" borderId="165" xfId="2" applyFont="1" applyFill="1" applyBorder="1" applyAlignment="1">
      <alignment vertical="center"/>
    </xf>
    <xf numFmtId="43" fontId="0" fillId="17" borderId="217" xfId="2" applyFont="1" applyFill="1" applyBorder="1" applyAlignment="1">
      <alignment vertical="center"/>
    </xf>
    <xf numFmtId="43" fontId="0" fillId="17" borderId="148" xfId="2" applyFont="1" applyFill="1" applyBorder="1" applyAlignment="1">
      <alignment vertical="center"/>
    </xf>
    <xf numFmtId="0" fontId="0" fillId="0" borderId="111" xfId="0" applyBorder="1"/>
    <xf numFmtId="0" fontId="0" fillId="0" borderId="93" xfId="0" applyBorder="1"/>
    <xf numFmtId="0" fontId="0" fillId="0" borderId="165" xfId="0" applyBorder="1"/>
    <xf numFmtId="0" fontId="0" fillId="0" borderId="7" xfId="0" applyBorder="1"/>
    <xf numFmtId="0" fontId="0" fillId="0" borderId="13" xfId="0" applyBorder="1"/>
    <xf numFmtId="0" fontId="41" fillId="0" borderId="0" xfId="0" applyFont="1" applyAlignment="1">
      <alignment vertical="top" wrapText="1"/>
    </xf>
    <xf numFmtId="43" fontId="0" fillId="9" borderId="271" xfId="2" applyFont="1" applyFill="1" applyBorder="1" applyAlignment="1" applyProtection="1">
      <alignment vertical="center"/>
      <protection locked="0"/>
    </xf>
    <xf numFmtId="43" fontId="0" fillId="9" borderId="272" xfId="2" applyFont="1" applyFill="1" applyBorder="1" applyAlignment="1" applyProtection="1">
      <alignment vertical="center"/>
      <protection locked="0"/>
    </xf>
    <xf numFmtId="43" fontId="10" fillId="9" borderId="273" xfId="2" applyFont="1" applyFill="1" applyBorder="1" applyAlignment="1" applyProtection="1">
      <alignment vertical="center"/>
      <protection locked="0"/>
    </xf>
    <xf numFmtId="43" fontId="10" fillId="9" borderId="274" xfId="2" applyFont="1" applyFill="1" applyBorder="1" applyAlignment="1" applyProtection="1">
      <alignment vertical="center"/>
      <protection locked="0"/>
    </xf>
    <xf numFmtId="170" fontId="6" fillId="4" borderId="275" xfId="2" applyNumberFormat="1" applyFont="1" applyFill="1" applyBorder="1" applyAlignment="1">
      <alignment vertical="center" wrapText="1"/>
    </xf>
    <xf numFmtId="0" fontId="0" fillId="4" borderId="260" xfId="2" applyNumberFormat="1" applyFont="1" applyFill="1" applyBorder="1" applyAlignment="1">
      <alignment horizontal="left" vertical="center"/>
    </xf>
    <xf numFmtId="43" fontId="2" fillId="4" borderId="265" xfId="2" applyFont="1" applyFill="1" applyBorder="1" applyAlignment="1">
      <alignment vertical="center"/>
    </xf>
    <xf numFmtId="169" fontId="0" fillId="4" borderId="275" xfId="2" applyNumberFormat="1" applyFont="1" applyFill="1" applyBorder="1" applyAlignment="1">
      <alignment vertical="center" wrapText="1"/>
    </xf>
    <xf numFmtId="0" fontId="0" fillId="4" borderId="263" xfId="2" applyNumberFormat="1" applyFont="1" applyFill="1" applyBorder="1" applyAlignment="1">
      <alignment horizontal="left" vertical="center"/>
    </xf>
    <xf numFmtId="43" fontId="2" fillId="4" borderId="0" xfId="2" applyFont="1" applyFill="1" applyBorder="1" applyAlignment="1">
      <alignment vertical="center"/>
    </xf>
    <xf numFmtId="170" fontId="6" fillId="4" borderId="195" xfId="2" applyNumberFormat="1" applyFont="1" applyFill="1" applyBorder="1" applyAlignment="1">
      <alignment vertical="center" wrapText="1"/>
    </xf>
    <xf numFmtId="0" fontId="0" fillId="0" borderId="0" xfId="0" applyAlignment="1">
      <alignment horizontal="left" vertical="center" wrapText="1"/>
    </xf>
    <xf numFmtId="43" fontId="0" fillId="18" borderId="206" xfId="2" applyFont="1" applyFill="1" applyBorder="1" applyAlignment="1" applyProtection="1">
      <alignment horizontal="right" vertical="center"/>
      <protection locked="0"/>
    </xf>
    <xf numFmtId="43" fontId="0" fillId="18" borderId="158" xfId="2" applyFont="1" applyFill="1" applyBorder="1" applyAlignment="1" applyProtection="1">
      <alignment horizontal="right" vertical="center" wrapText="1"/>
      <protection locked="0"/>
    </xf>
    <xf numFmtId="0" fontId="18" fillId="18" borderId="158" xfId="3" applyFill="1" applyBorder="1" applyAlignment="1" applyProtection="1">
      <alignment horizontal="right"/>
      <protection locked="0"/>
    </xf>
    <xf numFmtId="11" fontId="0" fillId="18" borderId="158" xfId="2" applyNumberFormat="1" applyFont="1" applyFill="1" applyBorder="1" applyAlignment="1" applyProtection="1">
      <alignment horizontal="right" vertical="center"/>
      <protection locked="0"/>
    </xf>
    <xf numFmtId="43" fontId="0" fillId="18" borderId="203" xfId="2" applyFont="1" applyFill="1" applyBorder="1" applyAlignment="1" applyProtection="1">
      <alignment horizontal="right" vertical="center"/>
      <protection locked="0"/>
    </xf>
    <xf numFmtId="43" fontId="0" fillId="18" borderId="270" xfId="2" applyFont="1" applyFill="1" applyBorder="1" applyAlignment="1" applyProtection="1">
      <alignment vertical="center"/>
      <protection locked="0"/>
    </xf>
    <xf numFmtId="43" fontId="0" fillId="18" borderId="158" xfId="2" applyFont="1" applyFill="1" applyBorder="1" applyAlignment="1" applyProtection="1">
      <alignment horizontal="right" vertical="center"/>
      <protection locked="0"/>
    </xf>
    <xf numFmtId="0" fontId="0" fillId="18" borderId="170" xfId="2" applyNumberFormat="1" applyFont="1" applyFill="1" applyBorder="1" applyAlignment="1" applyProtection="1">
      <alignment horizontal="left" vertical="center"/>
      <protection locked="0"/>
    </xf>
    <xf numFmtId="0" fontId="0" fillId="18" borderId="158" xfId="0" applyFill="1" applyBorder="1" applyAlignment="1" applyProtection="1">
      <alignment horizontal="left"/>
      <protection locked="0"/>
    </xf>
    <xf numFmtId="0" fontId="0" fillId="18" borderId="64" xfId="2" applyNumberFormat="1" applyFont="1" applyFill="1" applyBorder="1" applyAlignment="1" applyProtection="1">
      <alignment horizontal="left" vertical="center"/>
      <protection locked="0"/>
    </xf>
    <xf numFmtId="43" fontId="0" fillId="18" borderId="165" xfId="2" applyFont="1" applyFill="1" applyBorder="1" applyAlignment="1" applyProtection="1">
      <alignment horizontal="left" vertical="center"/>
      <protection locked="0"/>
    </xf>
    <xf numFmtId="43" fontId="18" fillId="18" borderId="151" xfId="2" applyFont="1" applyFill="1" applyBorder="1" applyAlignment="1" applyProtection="1">
      <alignment vertical="center"/>
      <protection locked="0"/>
    </xf>
    <xf numFmtId="43" fontId="18" fillId="18" borderId="193" xfId="2" applyFont="1" applyFill="1" applyBorder="1" applyAlignment="1" applyProtection="1">
      <alignment vertical="center"/>
      <protection locked="0"/>
    </xf>
    <xf numFmtId="43" fontId="18" fillId="18" borderId="192" xfId="2" applyFont="1" applyFill="1" applyBorder="1" applyAlignment="1" applyProtection="1">
      <alignment vertical="center"/>
      <protection locked="0"/>
    </xf>
    <xf numFmtId="43" fontId="0" fillId="18" borderId="239" xfId="2" applyFont="1" applyFill="1" applyBorder="1" applyAlignment="1" applyProtection="1">
      <alignment vertical="center"/>
      <protection locked="0"/>
    </xf>
    <xf numFmtId="43" fontId="0" fillId="18" borderId="242" xfId="2" applyFont="1" applyFill="1" applyBorder="1" applyAlignment="1" applyProtection="1">
      <alignment vertical="center"/>
      <protection locked="0"/>
    </xf>
    <xf numFmtId="43" fontId="18" fillId="18" borderId="39" xfId="2" applyFont="1" applyFill="1" applyBorder="1" applyAlignment="1" applyProtection="1">
      <alignment vertical="center"/>
      <protection locked="0"/>
    </xf>
    <xf numFmtId="43" fontId="18" fillId="18" borderId="39" xfId="2" applyFont="1" applyFill="1" applyBorder="1" applyAlignment="1" applyProtection="1">
      <alignment horizontal="center" vertical="center"/>
      <protection locked="0"/>
    </xf>
    <xf numFmtId="43" fontId="18" fillId="18" borderId="3" xfId="2" applyFont="1" applyFill="1" applyBorder="1" applyAlignment="1" applyProtection="1">
      <alignment horizontal="center" vertical="center"/>
      <protection locked="0"/>
    </xf>
    <xf numFmtId="43" fontId="18" fillId="18" borderId="51" xfId="2" applyFont="1" applyFill="1" applyBorder="1" applyAlignment="1" applyProtection="1">
      <alignment vertical="center"/>
      <protection locked="0"/>
    </xf>
    <xf numFmtId="43" fontId="18" fillId="18" borderId="51" xfId="2" applyFont="1" applyFill="1" applyBorder="1" applyAlignment="1" applyProtection="1">
      <alignment horizontal="center" vertical="center"/>
      <protection locked="0"/>
    </xf>
    <xf numFmtId="43" fontId="10" fillId="18" borderId="55" xfId="2" applyFont="1" applyFill="1" applyBorder="1" applyAlignment="1" applyProtection="1">
      <alignment horizontal="center" vertical="center"/>
      <protection locked="0"/>
    </xf>
    <xf numFmtId="43" fontId="18" fillId="18" borderId="50" xfId="2" applyFont="1" applyFill="1" applyBorder="1" applyAlignment="1" applyProtection="1">
      <alignment vertical="center"/>
      <protection locked="0"/>
    </xf>
    <xf numFmtId="43" fontId="18" fillId="18" borderId="50" xfId="2" applyFont="1" applyFill="1" applyBorder="1" applyAlignment="1" applyProtection="1">
      <alignment horizontal="center" vertical="center"/>
      <protection locked="0"/>
    </xf>
    <xf numFmtId="43" fontId="10" fillId="18" borderId="54" xfId="2" applyFont="1" applyFill="1" applyBorder="1" applyAlignment="1" applyProtection="1">
      <alignment horizontal="center" vertical="center"/>
      <protection locked="0"/>
    </xf>
    <xf numFmtId="43" fontId="0" fillId="18" borderId="7" xfId="2" applyFont="1" applyFill="1" applyBorder="1" applyAlignment="1" applyProtection="1">
      <alignment vertical="center"/>
      <protection locked="0"/>
    </xf>
    <xf numFmtId="43" fontId="0" fillId="18" borderId="181" xfId="2" applyFont="1" applyFill="1" applyBorder="1" applyAlignment="1" applyProtection="1">
      <alignment vertical="center"/>
      <protection locked="0"/>
    </xf>
    <xf numFmtId="43" fontId="0" fillId="18" borderId="127" xfId="2" applyFont="1" applyFill="1" applyBorder="1" applyAlignment="1" applyProtection="1">
      <alignment vertical="center"/>
      <protection locked="0"/>
    </xf>
    <xf numFmtId="43" fontId="0" fillId="18" borderId="13" xfId="2" applyFont="1" applyFill="1" applyBorder="1" applyAlignment="1" applyProtection="1">
      <alignment vertical="center"/>
      <protection locked="0"/>
    </xf>
    <xf numFmtId="43" fontId="0" fillId="18" borderId="46" xfId="2" applyFont="1" applyFill="1" applyBorder="1" applyAlignment="1" applyProtection="1">
      <alignment vertical="center"/>
      <protection locked="0"/>
    </xf>
    <xf numFmtId="43" fontId="0" fillId="18" borderId="41" xfId="2" applyFont="1" applyFill="1" applyBorder="1" applyAlignment="1" applyProtection="1">
      <alignment vertical="center" wrapText="1"/>
      <protection locked="0"/>
    </xf>
    <xf numFmtId="43" fontId="0" fillId="18" borderId="43" xfId="2" applyFont="1" applyFill="1" applyBorder="1" applyAlignment="1" applyProtection="1">
      <alignment vertical="center"/>
      <protection locked="0"/>
    </xf>
    <xf numFmtId="43" fontId="0" fillId="18" borderId="44" xfId="2" applyFont="1" applyFill="1" applyBorder="1" applyAlignment="1" applyProtection="1">
      <alignment vertical="center" wrapText="1"/>
      <protection locked="0"/>
    </xf>
    <xf numFmtId="43" fontId="0" fillId="18" borderId="26" xfId="2" applyFont="1" applyFill="1" applyBorder="1" applyAlignment="1" applyProtection="1">
      <alignment vertical="center"/>
      <protection locked="0"/>
    </xf>
    <xf numFmtId="43" fontId="0" fillId="18" borderId="29" xfId="2" applyFont="1" applyFill="1" applyBorder="1" applyAlignment="1" applyProtection="1">
      <alignment vertical="center" wrapText="1"/>
      <protection locked="0"/>
    </xf>
    <xf numFmtId="43" fontId="0" fillId="18" borderId="48" xfId="2" applyFont="1" applyFill="1" applyBorder="1" applyAlignment="1" applyProtection="1">
      <alignment vertical="center"/>
      <protection locked="0"/>
    </xf>
    <xf numFmtId="43" fontId="0" fillId="18" borderId="50" xfId="2" applyFont="1" applyFill="1" applyBorder="1" applyAlignment="1" applyProtection="1">
      <alignment vertical="center" wrapText="1"/>
      <protection locked="0"/>
    </xf>
    <xf numFmtId="0" fontId="18" fillId="18" borderId="86" xfId="3" applyFill="1" applyBorder="1" applyProtection="1">
      <protection locked="0"/>
    </xf>
    <xf numFmtId="43" fontId="0" fillId="18" borderId="0" xfId="2" applyFont="1" applyFill="1" applyAlignment="1" applyProtection="1">
      <alignment vertical="center"/>
      <protection locked="0"/>
    </xf>
    <xf numFmtId="43" fontId="0" fillId="18" borderId="73" xfId="2" applyFont="1" applyFill="1" applyBorder="1" applyAlignment="1" applyProtection="1">
      <alignment vertical="center"/>
      <protection locked="0"/>
    </xf>
    <xf numFmtId="0" fontId="0" fillId="18" borderId="80" xfId="0" applyFill="1" applyBorder="1" applyProtection="1">
      <protection locked="0"/>
    </xf>
    <xf numFmtId="43" fontId="0" fillId="18" borderId="116" xfId="2" applyFont="1" applyFill="1" applyBorder="1" applyAlignment="1" applyProtection="1">
      <alignment vertical="center"/>
      <protection locked="0"/>
    </xf>
    <xf numFmtId="43" fontId="0" fillId="18" borderId="197" xfId="2" applyFont="1" applyFill="1" applyBorder="1" applyAlignment="1" applyProtection="1">
      <alignment vertical="center"/>
      <protection locked="0"/>
    </xf>
    <xf numFmtId="43" fontId="0" fillId="18" borderId="196" xfId="2" applyFont="1" applyFill="1" applyBorder="1" applyAlignment="1" applyProtection="1">
      <alignment vertical="center"/>
      <protection locked="0"/>
    </xf>
    <xf numFmtId="0" fontId="0" fillId="18" borderId="78" xfId="0" applyFill="1" applyBorder="1" applyProtection="1">
      <protection locked="0"/>
    </xf>
    <xf numFmtId="43" fontId="0" fillId="18" borderId="117" xfId="2" applyFont="1" applyFill="1" applyBorder="1" applyAlignment="1" applyProtection="1">
      <alignment vertical="center"/>
      <protection locked="0"/>
    </xf>
    <xf numFmtId="0" fontId="0" fillId="18" borderId="160" xfId="0" applyFill="1" applyBorder="1" applyProtection="1">
      <protection locked="0"/>
    </xf>
    <xf numFmtId="43" fontId="0" fillId="18" borderId="164" xfId="2" applyFont="1" applyFill="1" applyBorder="1" applyAlignment="1" applyProtection="1">
      <alignment vertical="center"/>
      <protection locked="0"/>
    </xf>
    <xf numFmtId="43" fontId="0" fillId="18" borderId="198" xfId="2" applyFont="1" applyFill="1" applyBorder="1" applyAlignment="1" applyProtection="1">
      <alignment vertical="center"/>
      <protection locked="0"/>
    </xf>
    <xf numFmtId="43" fontId="0" fillId="18" borderId="35" xfId="2" applyFont="1" applyFill="1" applyBorder="1" applyAlignment="1" applyProtection="1">
      <alignment vertical="center"/>
      <protection locked="0"/>
    </xf>
    <xf numFmtId="43" fontId="0" fillId="18" borderId="39" xfId="2" applyFont="1" applyFill="1" applyBorder="1" applyAlignment="1" applyProtection="1">
      <alignment vertical="center" wrapText="1"/>
      <protection locked="0"/>
    </xf>
    <xf numFmtId="43" fontId="0" fillId="18" borderId="36" xfId="2" applyFont="1" applyFill="1" applyBorder="1" applyAlignment="1" applyProtection="1">
      <alignment vertical="center"/>
      <protection locked="0"/>
    </xf>
    <xf numFmtId="43" fontId="0" fillId="18" borderId="29" xfId="2" applyFont="1" applyFill="1" applyBorder="1" applyAlignment="1" applyProtection="1">
      <alignment vertical="center"/>
      <protection locked="0"/>
    </xf>
    <xf numFmtId="43" fontId="0" fillId="18" borderId="36" xfId="2" applyFont="1" applyFill="1" applyBorder="1" applyAlignment="1" applyProtection="1">
      <alignment vertical="center" wrapText="1"/>
      <protection locked="0"/>
    </xf>
    <xf numFmtId="43" fontId="0" fillId="18" borderId="37" xfId="2" applyFont="1" applyFill="1" applyBorder="1" applyAlignment="1" applyProtection="1">
      <alignment vertical="center"/>
      <protection locked="0"/>
    </xf>
    <xf numFmtId="43" fontId="0" fillId="18" borderId="40" xfId="2" applyFont="1" applyFill="1" applyBorder="1" applyAlignment="1" applyProtection="1">
      <alignment vertical="center"/>
      <protection locked="0"/>
    </xf>
    <xf numFmtId="43" fontId="10" fillId="18" borderId="58" xfId="2" applyFont="1" applyFill="1" applyBorder="1" applyAlignment="1" applyProtection="1">
      <alignment horizontal="left" vertical="center"/>
      <protection locked="0"/>
    </xf>
    <xf numFmtId="43" fontId="10" fillId="18" borderId="56" xfId="2" applyFont="1" applyFill="1" applyBorder="1" applyAlignment="1" applyProtection="1">
      <alignment horizontal="left" vertical="center"/>
      <protection locked="0"/>
    </xf>
    <xf numFmtId="43" fontId="10" fillId="18" borderId="54" xfId="2" applyFont="1" applyFill="1" applyBorder="1" applyAlignment="1" applyProtection="1">
      <alignment horizontal="left" vertical="center"/>
      <protection locked="0"/>
    </xf>
    <xf numFmtId="43" fontId="0" fillId="18" borderId="202" xfId="2" applyFont="1" applyFill="1" applyBorder="1" applyAlignment="1" applyProtection="1">
      <alignment horizontal="right" vertical="center"/>
      <protection locked="0"/>
    </xf>
    <xf numFmtId="43" fontId="2" fillId="18" borderId="93" xfId="2" applyFont="1" applyFill="1" applyBorder="1" applyAlignment="1">
      <alignment vertical="center"/>
    </xf>
    <xf numFmtId="43" fontId="0" fillId="18" borderId="200" xfId="2" applyFont="1" applyFill="1" applyBorder="1" applyAlignment="1" applyProtection="1">
      <alignment vertical="center"/>
      <protection locked="0"/>
    </xf>
    <xf numFmtId="43" fontId="2" fillId="18" borderId="148" xfId="2" applyFont="1" applyFill="1" applyBorder="1" applyAlignment="1" applyProtection="1">
      <alignment vertical="center"/>
      <protection locked="0"/>
    </xf>
    <xf numFmtId="0" fontId="18" fillId="18" borderId="77" xfId="3" applyFill="1" applyBorder="1" applyProtection="1">
      <protection locked="0"/>
    </xf>
    <xf numFmtId="43" fontId="0" fillId="18" borderId="176" xfId="2" applyFont="1" applyFill="1" applyBorder="1" applyAlignment="1" applyProtection="1">
      <alignment vertical="center"/>
      <protection locked="0"/>
    </xf>
    <xf numFmtId="43" fontId="0" fillId="18" borderId="175" xfId="2" applyFont="1" applyFill="1" applyBorder="1" applyAlignment="1" applyProtection="1">
      <alignment vertical="center"/>
      <protection locked="0"/>
    </xf>
    <xf numFmtId="0" fontId="0" fillId="18" borderId="136" xfId="0" applyFill="1" applyBorder="1" applyProtection="1">
      <protection locked="0"/>
    </xf>
    <xf numFmtId="43" fontId="0" fillId="18" borderId="140" xfId="2" applyFont="1" applyFill="1" applyBorder="1" applyAlignment="1" applyProtection="1">
      <alignment vertical="center"/>
      <protection locked="0"/>
    </xf>
    <xf numFmtId="43" fontId="0" fillId="18" borderId="162" xfId="2" applyFont="1" applyFill="1" applyBorder="1" applyAlignment="1" applyProtection="1">
      <alignment vertical="center"/>
      <protection locked="0"/>
    </xf>
    <xf numFmtId="43" fontId="0" fillId="18" borderId="148" xfId="2" applyFont="1" applyFill="1" applyBorder="1" applyAlignment="1" applyProtection="1">
      <alignment vertical="center"/>
      <protection locked="0"/>
    </xf>
    <xf numFmtId="43" fontId="0" fillId="18" borderId="220" xfId="2" applyFont="1" applyFill="1" applyBorder="1" applyAlignment="1" applyProtection="1">
      <alignment vertical="center"/>
      <protection locked="0"/>
    </xf>
    <xf numFmtId="43" fontId="0" fillId="18" borderId="102" xfId="2" applyFont="1" applyFill="1" applyBorder="1" applyAlignment="1" applyProtection="1">
      <alignment vertical="center"/>
      <protection locked="0"/>
    </xf>
    <xf numFmtId="43" fontId="0" fillId="18" borderId="154" xfId="2" applyFont="1" applyFill="1" applyBorder="1" applyAlignment="1" applyProtection="1">
      <alignment vertical="center"/>
      <protection locked="0"/>
    </xf>
    <xf numFmtId="0" fontId="18" fillId="18" borderId="80" xfId="3" applyFill="1" applyBorder="1" applyProtection="1">
      <protection locked="0"/>
    </xf>
    <xf numFmtId="43" fontId="0" fillId="18" borderId="152" xfId="2" applyFont="1" applyFill="1" applyBorder="1" applyAlignment="1" applyProtection="1">
      <alignment vertical="center"/>
      <protection locked="0"/>
    </xf>
    <xf numFmtId="43" fontId="0" fillId="18" borderId="115" xfId="2" applyFont="1" applyFill="1" applyBorder="1" applyAlignment="1" applyProtection="1">
      <alignment vertical="center"/>
      <protection locked="0"/>
    </xf>
    <xf numFmtId="43" fontId="0" fillId="18" borderId="98" xfId="2" applyFont="1" applyFill="1" applyBorder="1" applyAlignment="1" applyProtection="1">
      <alignment vertical="center"/>
      <protection locked="0"/>
    </xf>
    <xf numFmtId="43" fontId="0" fillId="18" borderId="80" xfId="2" applyFont="1" applyFill="1" applyBorder="1" applyAlignment="1" applyProtection="1">
      <alignment vertical="center"/>
      <protection locked="0"/>
    </xf>
    <xf numFmtId="43" fontId="0" fillId="18" borderId="100" xfId="2" applyFont="1" applyFill="1" applyBorder="1" applyAlignment="1" applyProtection="1">
      <alignment vertical="center"/>
      <protection locked="0"/>
    </xf>
    <xf numFmtId="43" fontId="0" fillId="18" borderId="189" xfId="2" applyFont="1" applyFill="1" applyBorder="1" applyAlignment="1" applyProtection="1">
      <alignment vertical="center"/>
      <protection locked="0"/>
    </xf>
    <xf numFmtId="43" fontId="0" fillId="18" borderId="190" xfId="2" applyFont="1" applyFill="1" applyBorder="1" applyAlignment="1" applyProtection="1">
      <alignment vertical="center"/>
      <protection locked="0"/>
    </xf>
    <xf numFmtId="43" fontId="0" fillId="18" borderId="191" xfId="2" applyFont="1" applyFill="1" applyBorder="1" applyAlignment="1" applyProtection="1">
      <alignment vertical="center"/>
      <protection locked="0"/>
    </xf>
    <xf numFmtId="43" fontId="0" fillId="18" borderId="139" xfId="2" applyFont="1" applyFill="1" applyBorder="1" applyAlignment="1" applyProtection="1">
      <alignment horizontal="right" vertical="center"/>
      <protection locked="0"/>
    </xf>
    <xf numFmtId="43" fontId="2" fillId="18" borderId="151" xfId="2" applyFont="1" applyFill="1" applyBorder="1" applyAlignment="1" applyProtection="1">
      <alignment vertical="center"/>
      <protection locked="0"/>
    </xf>
    <xf numFmtId="43" fontId="2" fillId="18" borderId="192" xfId="2" applyFont="1" applyFill="1" applyBorder="1" applyAlignment="1" applyProtection="1">
      <alignment vertical="center"/>
      <protection locked="0"/>
    </xf>
    <xf numFmtId="43" fontId="2" fillId="18" borderId="193" xfId="2" applyFont="1" applyFill="1" applyBorder="1" applyAlignment="1" applyProtection="1">
      <alignment vertical="center"/>
      <protection locked="0"/>
    </xf>
    <xf numFmtId="43" fontId="0" fillId="18" borderId="167" xfId="2" applyFont="1" applyFill="1" applyBorder="1" applyAlignment="1" applyProtection="1">
      <alignment horizontal="right" vertical="center"/>
      <protection locked="0"/>
    </xf>
    <xf numFmtId="43" fontId="0" fillId="18" borderId="219" xfId="2" applyFont="1" applyFill="1" applyBorder="1" applyAlignment="1" applyProtection="1">
      <alignment vertical="center"/>
      <protection locked="0"/>
    </xf>
    <xf numFmtId="43" fontId="0" fillId="18" borderId="207" xfId="2" applyFont="1" applyFill="1" applyBorder="1" applyAlignment="1" applyProtection="1">
      <alignment horizontal="right" vertical="center"/>
      <protection locked="0"/>
    </xf>
    <xf numFmtId="43" fontId="0" fillId="18" borderId="209" xfId="2" applyFont="1" applyFill="1" applyBorder="1" applyAlignment="1" applyProtection="1">
      <alignment horizontal="right" vertical="center"/>
      <protection locked="0"/>
    </xf>
    <xf numFmtId="0" fontId="18" fillId="18" borderId="231" xfId="3" applyFill="1" applyBorder="1" applyProtection="1">
      <protection locked="0"/>
    </xf>
    <xf numFmtId="43" fontId="0" fillId="18" borderId="12" xfId="2" applyFont="1" applyFill="1" applyBorder="1" applyAlignment="1" applyProtection="1">
      <alignment vertical="center"/>
      <protection locked="0"/>
    </xf>
    <xf numFmtId="43" fontId="0" fillId="18" borderId="208" xfId="2" applyFont="1" applyFill="1" applyBorder="1" applyAlignment="1" applyProtection="1">
      <alignment vertical="center"/>
      <protection locked="0"/>
    </xf>
    <xf numFmtId="43" fontId="0" fillId="18" borderId="213" xfId="2" applyFont="1" applyFill="1" applyBorder="1" applyAlignment="1" applyProtection="1">
      <alignment vertical="center"/>
      <protection locked="0"/>
    </xf>
    <xf numFmtId="43" fontId="0" fillId="18" borderId="228" xfId="2" applyFont="1" applyFill="1" applyBorder="1" applyAlignment="1" applyProtection="1">
      <alignment vertical="center" wrapText="1"/>
      <protection locked="0"/>
    </xf>
    <xf numFmtId="0" fontId="0" fillId="18" borderId="276" xfId="2" applyNumberFormat="1" applyFont="1" applyFill="1" applyBorder="1" applyAlignment="1" applyProtection="1">
      <alignment horizontal="left" vertical="center"/>
      <protection locked="0"/>
    </xf>
    <xf numFmtId="14" fontId="0" fillId="9" borderId="159" xfId="2" applyNumberFormat="1" applyFont="1" applyFill="1" applyBorder="1" applyAlignment="1" applyProtection="1">
      <alignment horizontal="left" vertical="center"/>
      <protection locked="0"/>
    </xf>
    <xf numFmtId="20" fontId="0" fillId="9" borderId="156" xfId="2" applyNumberFormat="1" applyFont="1" applyFill="1" applyBorder="1" applyAlignment="1" applyProtection="1">
      <alignment horizontal="left" vertical="center"/>
      <protection locked="0"/>
    </xf>
    <xf numFmtId="46" fontId="2" fillId="0" borderId="0" xfId="0" applyNumberFormat="1" applyFont="1" applyAlignment="1">
      <alignment vertical="center"/>
    </xf>
    <xf numFmtId="174" fontId="0" fillId="0" borderId="155" xfId="0" applyNumberFormat="1" applyBorder="1"/>
    <xf numFmtId="43" fontId="18" fillId="4" borderId="8" xfId="2" applyFont="1" applyFill="1" applyBorder="1" applyAlignment="1">
      <alignment horizontal="left" vertical="center"/>
    </xf>
    <xf numFmtId="43" fontId="18" fillId="4" borderId="0" xfId="2" applyFont="1" applyFill="1" applyBorder="1" applyAlignment="1">
      <alignment horizontal="left" vertical="center"/>
    </xf>
    <xf numFmtId="43" fontId="18" fillId="4" borderId="5" xfId="2" applyFont="1" applyFill="1" applyBorder="1" applyAlignment="1">
      <alignment horizontal="left" vertical="center"/>
    </xf>
    <xf numFmtId="43" fontId="6" fillId="4" borderId="262" xfId="2" applyFont="1" applyFill="1" applyBorder="1" applyAlignment="1">
      <alignment horizontal="left" vertical="center"/>
    </xf>
    <xf numFmtId="43" fontId="46" fillId="0" borderId="0" xfId="2" applyFont="1" applyFill="1" applyBorder="1" applyAlignment="1">
      <alignment vertical="center"/>
    </xf>
    <xf numFmtId="172" fontId="0" fillId="0" borderId="6" xfId="0" applyNumberFormat="1" applyBorder="1"/>
    <xf numFmtId="43" fontId="0" fillId="18" borderId="2" xfId="2" applyFont="1" applyFill="1" applyBorder="1" applyAlignment="1" applyProtection="1">
      <alignment horizontal="right" vertical="center" wrapText="1"/>
      <protection locked="0"/>
    </xf>
    <xf numFmtId="43" fontId="18" fillId="4" borderId="122" xfId="2" applyFont="1" applyFill="1" applyBorder="1" applyAlignment="1" applyProtection="1">
      <alignment horizontal="right" vertical="center"/>
      <protection locked="0"/>
    </xf>
    <xf numFmtId="43" fontId="18" fillId="4" borderId="277" xfId="2" applyFont="1" applyFill="1" applyBorder="1" applyAlignment="1" applyProtection="1">
      <alignment horizontal="right" vertical="center"/>
      <protection locked="0"/>
    </xf>
    <xf numFmtId="43" fontId="0" fillId="18" borderId="82" xfId="2" applyFont="1" applyFill="1" applyBorder="1" applyAlignment="1" applyProtection="1">
      <alignment horizontal="right" vertical="center" wrapText="1"/>
      <protection locked="0"/>
    </xf>
    <xf numFmtId="43" fontId="18" fillId="4" borderId="139" xfId="2" applyFont="1" applyFill="1" applyBorder="1" applyAlignment="1" applyProtection="1">
      <alignment horizontal="right" vertical="center"/>
      <protection locked="0"/>
    </xf>
    <xf numFmtId="43" fontId="0" fillId="18" borderId="223" xfId="2" applyFont="1" applyFill="1" applyBorder="1" applyAlignment="1" applyProtection="1">
      <alignment horizontal="right" vertical="center" wrapText="1"/>
      <protection locked="0"/>
    </xf>
    <xf numFmtId="43" fontId="18" fillId="9" borderId="237" xfId="2" applyFont="1" applyFill="1" applyBorder="1" applyAlignment="1" applyProtection="1">
      <alignment vertical="center"/>
      <protection locked="0"/>
    </xf>
    <xf numFmtId="43" fontId="0" fillId="9" borderId="278" xfId="2" applyFont="1" applyFill="1" applyBorder="1" applyAlignment="1" applyProtection="1">
      <alignment vertical="center"/>
      <protection locked="0"/>
    </xf>
    <xf numFmtId="43" fontId="18" fillId="4" borderId="5" xfId="2" applyFont="1" applyFill="1" applyBorder="1" applyAlignment="1" applyProtection="1">
      <alignment vertical="center"/>
      <protection locked="0"/>
    </xf>
    <xf numFmtId="43" fontId="18" fillId="4" borderId="277" xfId="2" applyFont="1" applyFill="1" applyBorder="1" applyAlignment="1" applyProtection="1">
      <alignment vertical="center"/>
      <protection locked="0"/>
    </xf>
    <xf numFmtId="43" fontId="18" fillId="4" borderId="139" xfId="2" applyFont="1" applyFill="1" applyBorder="1" applyAlignment="1" applyProtection="1">
      <alignment vertical="center"/>
      <protection locked="0"/>
    </xf>
    <xf numFmtId="43" fontId="18" fillId="18" borderId="114" xfId="2" applyFont="1" applyFill="1" applyBorder="1" applyAlignment="1" applyProtection="1">
      <alignment vertical="center" wrapText="1"/>
      <protection locked="0"/>
    </xf>
    <xf numFmtId="43" fontId="18" fillId="18" borderId="279" xfId="2" applyFont="1" applyFill="1" applyBorder="1" applyAlignment="1" applyProtection="1">
      <alignment vertical="center" wrapText="1"/>
      <protection locked="0"/>
    </xf>
    <xf numFmtId="43" fontId="18" fillId="18" borderId="223" xfId="2" applyFont="1" applyFill="1" applyBorder="1" applyAlignment="1" applyProtection="1">
      <alignment vertical="center" wrapText="1"/>
      <protection locked="0"/>
    </xf>
    <xf numFmtId="43" fontId="0" fillId="18" borderId="114" xfId="2" applyFont="1" applyFill="1" applyBorder="1" applyAlignment="1" applyProtection="1">
      <alignment vertical="center" wrapText="1"/>
      <protection locked="0"/>
    </xf>
    <xf numFmtId="43" fontId="0" fillId="18" borderId="279" xfId="2" applyFont="1" applyFill="1" applyBorder="1" applyAlignment="1" applyProtection="1">
      <alignment vertical="center" wrapText="1"/>
      <protection locked="0"/>
    </xf>
    <xf numFmtId="43" fontId="0" fillId="18" borderId="223" xfId="2" applyFont="1" applyFill="1" applyBorder="1" applyAlignment="1" applyProtection="1">
      <alignment vertical="center" wrapText="1"/>
      <protection locked="0"/>
    </xf>
    <xf numFmtId="43" fontId="0" fillId="9" borderId="205" xfId="2" applyFont="1" applyFill="1" applyBorder="1" applyAlignment="1" applyProtection="1">
      <alignment horizontal="right" vertical="center"/>
      <protection locked="0"/>
    </xf>
    <xf numFmtId="43" fontId="0" fillId="18" borderId="85" xfId="2" applyFont="1" applyFill="1" applyBorder="1" applyAlignment="1" applyProtection="1">
      <alignment horizontal="right" vertical="center"/>
      <protection locked="0"/>
    </xf>
    <xf numFmtId="43" fontId="0" fillId="9" borderId="148" xfId="2" applyFont="1" applyFill="1" applyBorder="1" applyAlignment="1" applyProtection="1">
      <alignment vertical="center"/>
      <protection locked="0"/>
    </xf>
    <xf numFmtId="43" fontId="18" fillId="18" borderId="6" xfId="2" applyFont="1" applyFill="1" applyBorder="1" applyAlignment="1" applyProtection="1">
      <alignment vertical="center"/>
      <protection locked="0"/>
    </xf>
    <xf numFmtId="43" fontId="0" fillId="7" borderId="8" xfId="2" applyFont="1" applyFill="1" applyBorder="1" applyAlignment="1" applyProtection="1">
      <alignment vertical="center"/>
      <protection locked="0"/>
    </xf>
    <xf numFmtId="43" fontId="18" fillId="18" borderId="83" xfId="2" applyFont="1" applyFill="1" applyBorder="1" applyAlignment="1" applyProtection="1">
      <alignment vertical="center"/>
      <protection locked="0"/>
    </xf>
    <xf numFmtId="43" fontId="0" fillId="9" borderId="165" xfId="2" applyFont="1" applyFill="1" applyBorder="1" applyAlignment="1" applyProtection="1">
      <alignment vertical="center"/>
      <protection locked="0"/>
    </xf>
    <xf numFmtId="43" fontId="0" fillId="4" borderId="167" xfId="2" applyFont="1" applyFill="1" applyBorder="1" applyAlignment="1" applyProtection="1">
      <alignment vertical="center"/>
      <protection locked="0"/>
    </xf>
    <xf numFmtId="43" fontId="2" fillId="0" borderId="0" xfId="2" applyFont="1" applyAlignment="1" applyProtection="1">
      <alignment vertical="center"/>
    </xf>
    <xf numFmtId="43" fontId="2" fillId="3" borderId="0" xfId="2" applyFont="1" applyFill="1" applyAlignment="1" applyProtection="1">
      <alignment vertical="center"/>
    </xf>
    <xf numFmtId="43" fontId="22" fillId="3" borderId="5" xfId="2" applyFont="1" applyFill="1" applyBorder="1" applyAlignment="1" applyProtection="1">
      <alignment vertical="center"/>
    </xf>
    <xf numFmtId="43" fontId="2" fillId="3" borderId="6" xfId="2" applyFont="1" applyFill="1" applyBorder="1" applyAlignment="1" applyProtection="1">
      <alignment vertical="center"/>
    </xf>
    <xf numFmtId="43" fontId="2" fillId="3" borderId="7" xfId="2" applyFont="1" applyFill="1" applyBorder="1" applyAlignment="1" applyProtection="1">
      <alignment vertical="center"/>
    </xf>
    <xf numFmtId="43" fontId="19" fillId="3" borderId="0" xfId="2" applyFont="1" applyFill="1" applyAlignment="1" applyProtection="1">
      <alignment vertical="center"/>
    </xf>
    <xf numFmtId="43" fontId="22" fillId="3" borderId="8" xfId="2" applyFont="1" applyFill="1" applyBorder="1" applyAlignment="1" applyProtection="1">
      <alignment vertical="center"/>
    </xf>
    <xf numFmtId="43" fontId="2" fillId="3" borderId="0" xfId="2" applyFont="1" applyFill="1" applyBorder="1" applyAlignment="1" applyProtection="1">
      <alignment vertical="center"/>
    </xf>
    <xf numFmtId="43" fontId="2" fillId="3" borderId="9" xfId="2" applyFont="1" applyFill="1" applyBorder="1" applyAlignment="1" applyProtection="1">
      <alignment vertical="center"/>
    </xf>
    <xf numFmtId="43" fontId="2" fillId="3" borderId="8" xfId="2" applyFont="1" applyFill="1" applyBorder="1" applyAlignment="1" applyProtection="1">
      <alignment vertical="center"/>
    </xf>
    <xf numFmtId="43" fontId="2" fillId="0" borderId="0" xfId="2" applyFont="1" applyBorder="1" applyAlignment="1" applyProtection="1">
      <alignment vertical="center"/>
    </xf>
    <xf numFmtId="43" fontId="2" fillId="0" borderId="9" xfId="2" applyFont="1" applyBorder="1" applyAlignment="1" applyProtection="1">
      <alignment vertical="center"/>
    </xf>
    <xf numFmtId="43" fontId="10" fillId="12" borderId="5" xfId="2" applyFont="1" applyFill="1" applyBorder="1" applyAlignment="1" applyProtection="1">
      <alignment vertical="center"/>
    </xf>
    <xf numFmtId="43" fontId="10" fillId="12" borderId="6" xfId="2" applyFont="1" applyFill="1" applyBorder="1" applyAlignment="1" applyProtection="1">
      <alignment vertical="center"/>
    </xf>
    <xf numFmtId="43" fontId="10" fillId="12" borderId="7" xfId="2" applyFont="1" applyFill="1" applyBorder="1" applyAlignment="1" applyProtection="1">
      <alignment vertical="center"/>
    </xf>
    <xf numFmtId="43" fontId="10" fillId="12" borderId="8" xfId="2" applyFont="1" applyFill="1" applyBorder="1" applyAlignment="1" applyProtection="1">
      <alignment vertical="center"/>
    </xf>
    <xf numFmtId="43" fontId="23" fillId="12" borderId="0" xfId="2" applyFont="1" applyFill="1" applyAlignment="1" applyProtection="1">
      <alignment vertical="center"/>
    </xf>
    <xf numFmtId="43" fontId="10" fillId="12" borderId="0" xfId="2" applyFont="1" applyFill="1" applyAlignment="1" applyProtection="1">
      <alignment vertical="center"/>
    </xf>
    <xf numFmtId="43" fontId="10" fillId="12" borderId="9" xfId="2" applyFont="1" applyFill="1" applyBorder="1" applyAlignment="1" applyProtection="1">
      <alignment vertical="center"/>
    </xf>
    <xf numFmtId="43" fontId="2" fillId="0" borderId="8" xfId="2" applyFont="1" applyBorder="1" applyAlignment="1" applyProtection="1">
      <alignment vertical="center"/>
    </xf>
    <xf numFmtId="43" fontId="10" fillId="12" borderId="11" xfId="2" applyFont="1" applyFill="1" applyBorder="1" applyAlignment="1" applyProtection="1">
      <alignment vertical="center"/>
    </xf>
    <xf numFmtId="43" fontId="10" fillId="12" borderId="12" xfId="2" applyFont="1" applyFill="1" applyBorder="1" applyAlignment="1" applyProtection="1">
      <alignment vertical="center"/>
    </xf>
    <xf numFmtId="43" fontId="12" fillId="12" borderId="12" xfId="2" applyFont="1" applyFill="1" applyBorder="1" applyAlignment="1" applyProtection="1">
      <alignment horizontal="center" vertical="center"/>
    </xf>
    <xf numFmtId="43" fontId="2" fillId="12" borderId="12" xfId="2" applyFont="1" applyFill="1" applyBorder="1" applyAlignment="1" applyProtection="1">
      <alignment vertical="center"/>
    </xf>
    <xf numFmtId="43" fontId="20" fillId="12" borderId="12" xfId="2" applyFont="1" applyFill="1" applyBorder="1" applyAlignment="1" applyProtection="1">
      <alignment horizontal="center" vertical="center"/>
    </xf>
    <xf numFmtId="43" fontId="10" fillId="12" borderId="13" xfId="2" applyFont="1" applyFill="1" applyBorder="1" applyAlignment="1" applyProtection="1">
      <alignment vertical="center"/>
    </xf>
    <xf numFmtId="43" fontId="0" fillId="5" borderId="8" xfId="2" applyFont="1" applyFill="1" applyBorder="1" applyAlignment="1" applyProtection="1">
      <alignment vertical="center"/>
    </xf>
    <xf numFmtId="43" fontId="0" fillId="5" borderId="0" xfId="2" applyFont="1" applyFill="1" applyAlignment="1" applyProtection="1">
      <alignment vertical="center"/>
    </xf>
    <xf numFmtId="43" fontId="0" fillId="5" borderId="93" xfId="2" applyFont="1" applyFill="1" applyBorder="1" applyAlignment="1" applyProtection="1">
      <alignment vertical="center"/>
    </xf>
    <xf numFmtId="43" fontId="2" fillId="7" borderId="0" xfId="2" applyFont="1" applyFill="1" applyAlignment="1" applyProtection="1">
      <alignment vertical="center"/>
    </xf>
    <xf numFmtId="43" fontId="0" fillId="5" borderId="9" xfId="2" applyFont="1" applyFill="1" applyBorder="1" applyAlignment="1" applyProtection="1">
      <alignment vertical="center"/>
    </xf>
    <xf numFmtId="43" fontId="0" fillId="7" borderId="10" xfId="2" applyFont="1" applyFill="1" applyBorder="1" applyAlignment="1" applyProtection="1">
      <alignment horizontal="left" vertical="center"/>
    </xf>
    <xf numFmtId="43" fontId="0" fillId="5" borderId="0" xfId="2" applyFont="1" applyFill="1" applyBorder="1" applyAlignment="1" applyProtection="1">
      <alignment vertical="center"/>
    </xf>
    <xf numFmtId="43" fontId="2" fillId="0" borderId="0" xfId="2" applyFont="1" applyFill="1" applyBorder="1" applyAlignment="1" applyProtection="1">
      <alignment vertical="center"/>
    </xf>
    <xf numFmtId="43" fontId="1" fillId="3" borderId="155" xfId="2" applyFont="1" applyFill="1" applyBorder="1" applyAlignment="1" applyProtection="1">
      <alignment vertical="center"/>
    </xf>
    <xf numFmtId="43" fontId="0" fillId="5" borderId="10" xfId="2" applyFont="1" applyFill="1" applyBorder="1" applyAlignment="1" applyProtection="1">
      <alignment vertical="center"/>
    </xf>
    <xf numFmtId="43" fontId="0" fillId="5" borderId="11" xfId="2" applyFont="1" applyFill="1" applyBorder="1" applyAlignment="1" applyProtection="1">
      <alignment vertical="center"/>
    </xf>
    <xf numFmtId="43" fontId="0" fillId="5" borderId="12" xfId="2" applyFont="1" applyFill="1" applyBorder="1" applyAlignment="1" applyProtection="1">
      <alignment vertical="center"/>
    </xf>
    <xf numFmtId="43" fontId="0" fillId="5" borderId="13" xfId="2" applyFont="1" applyFill="1" applyBorder="1" applyAlignment="1" applyProtection="1">
      <alignment vertical="center"/>
    </xf>
    <xf numFmtId="43" fontId="0" fillId="0" borderId="0" xfId="2" applyFont="1" applyFill="1" applyBorder="1" applyAlignment="1" applyProtection="1">
      <alignment vertical="center"/>
    </xf>
    <xf numFmtId="43" fontId="12" fillId="12" borderId="0" xfId="2" applyFont="1" applyFill="1" applyAlignment="1" applyProtection="1">
      <alignment vertical="center"/>
    </xf>
    <xf numFmtId="43" fontId="11" fillId="12" borderId="0" xfId="2" applyFont="1" applyFill="1" applyAlignment="1" applyProtection="1">
      <alignment vertical="center"/>
    </xf>
    <xf numFmtId="43" fontId="5" fillId="12" borderId="12" xfId="2" applyFont="1" applyFill="1" applyBorder="1" applyAlignment="1" applyProtection="1">
      <alignment horizontal="center" vertical="center"/>
    </xf>
    <xf numFmtId="43" fontId="20" fillId="12" borderId="13" xfId="2" applyFont="1" applyFill="1" applyBorder="1" applyAlignment="1" applyProtection="1">
      <alignment horizontal="center" vertical="center"/>
    </xf>
    <xf numFmtId="43" fontId="0" fillId="7" borderId="0" xfId="2" applyFont="1" applyFill="1" applyAlignment="1" applyProtection="1">
      <alignment vertical="center"/>
    </xf>
    <xf numFmtId="43" fontId="2" fillId="0" borderId="156" xfId="2" applyFont="1" applyBorder="1" applyAlignment="1" applyProtection="1">
      <alignment vertical="center"/>
    </xf>
    <xf numFmtId="43" fontId="2" fillId="7" borderId="12" xfId="2" applyFont="1" applyFill="1" applyBorder="1" applyAlignment="1" applyProtection="1">
      <alignment vertical="center"/>
    </xf>
    <xf numFmtId="43" fontId="6" fillId="7" borderId="17" xfId="2" applyFont="1" applyFill="1" applyBorder="1" applyAlignment="1" applyProtection="1">
      <alignment horizontal="left" vertical="center"/>
    </xf>
    <xf numFmtId="43" fontId="0" fillId="7" borderId="17" xfId="2" applyFont="1" applyFill="1" applyBorder="1" applyAlignment="1" applyProtection="1">
      <alignment vertical="center"/>
    </xf>
    <xf numFmtId="43" fontId="0" fillId="0" borderId="0" xfId="2" applyFont="1" applyAlignment="1" applyProtection="1">
      <alignment vertical="center"/>
    </xf>
    <xf numFmtId="43" fontId="5" fillId="12" borderId="12" xfId="2" applyFont="1" applyFill="1" applyBorder="1" applyAlignment="1" applyProtection="1">
      <alignment horizontal="center" vertical="center" wrapText="1"/>
    </xf>
    <xf numFmtId="43" fontId="26" fillId="12" borderId="12" xfId="2" applyFont="1" applyFill="1" applyBorder="1" applyAlignment="1" applyProtection="1">
      <alignment horizontal="center" vertical="center"/>
    </xf>
    <xf numFmtId="43" fontId="1" fillId="3" borderId="8" xfId="2" applyFont="1" applyFill="1" applyBorder="1" applyAlignment="1" applyProtection="1">
      <alignment vertical="center"/>
    </xf>
    <xf numFmtId="43" fontId="1" fillId="3" borderId="0" xfId="2" applyFont="1" applyFill="1" applyBorder="1" applyAlignment="1" applyProtection="1">
      <alignment vertical="center"/>
    </xf>
    <xf numFmtId="43" fontId="1" fillId="3" borderId="9" xfId="2" applyFont="1" applyFill="1" applyBorder="1" applyAlignment="1" applyProtection="1">
      <alignment vertical="center"/>
    </xf>
    <xf numFmtId="43" fontId="2" fillId="7" borderId="6" xfId="2" applyFont="1" applyFill="1" applyBorder="1" applyAlignment="1" applyProtection="1">
      <alignment vertical="center"/>
    </xf>
    <xf numFmtId="43" fontId="0" fillId="4" borderId="262" xfId="2" applyFont="1" applyFill="1" applyBorder="1" applyAlignment="1" applyProtection="1">
      <alignment vertical="center"/>
    </xf>
    <xf numFmtId="43" fontId="0" fillId="4" borderId="261" xfId="2" applyFont="1" applyFill="1" applyBorder="1" applyAlignment="1" applyProtection="1">
      <alignment vertical="center"/>
    </xf>
    <xf numFmtId="43" fontId="0" fillId="5" borderId="155" xfId="2" applyFont="1" applyFill="1" applyBorder="1" applyAlignment="1" applyProtection="1">
      <alignment vertical="center"/>
    </xf>
    <xf numFmtId="43" fontId="1" fillId="2" borderId="0" xfId="2" applyFont="1" applyFill="1" applyBorder="1" applyAlignment="1" applyProtection="1">
      <alignment horizontal="left" vertical="center"/>
    </xf>
    <xf numFmtId="43" fontId="2" fillId="7" borderId="0" xfId="2" applyFont="1" applyFill="1" applyBorder="1" applyAlignment="1" applyProtection="1">
      <alignment vertical="center"/>
    </xf>
    <xf numFmtId="43" fontId="0" fillId="4" borderId="8" xfId="2" applyFont="1" applyFill="1" applyBorder="1" applyAlignment="1" applyProtection="1">
      <alignment vertical="center"/>
    </xf>
    <xf numFmtId="43" fontId="0" fillId="4" borderId="0" xfId="2" applyFont="1" applyFill="1" applyBorder="1" applyAlignment="1" applyProtection="1">
      <alignment vertical="center"/>
    </xf>
    <xf numFmtId="43" fontId="0" fillId="4" borderId="9" xfId="2" applyFont="1" applyFill="1" applyBorder="1" applyAlignment="1" applyProtection="1">
      <alignment vertical="center"/>
    </xf>
    <xf numFmtId="166" fontId="2" fillId="0" borderId="5" xfId="2" applyNumberFormat="1" applyFont="1" applyBorder="1" applyAlignment="1" applyProtection="1">
      <alignment vertical="center"/>
    </xf>
    <xf numFmtId="166" fontId="2" fillId="0" borderId="6" xfId="2" applyNumberFormat="1" applyFont="1" applyBorder="1" applyAlignment="1" applyProtection="1">
      <alignment vertical="center"/>
    </xf>
    <xf numFmtId="43" fontId="11" fillId="0" borderId="6" xfId="2" applyFont="1" applyBorder="1" applyAlignment="1" applyProtection="1">
      <alignment vertical="center"/>
    </xf>
    <xf numFmtId="166" fontId="2" fillId="0" borderId="8" xfId="2" applyNumberFormat="1" applyFont="1" applyBorder="1" applyAlignment="1" applyProtection="1">
      <alignment vertical="center"/>
    </xf>
    <xf numFmtId="166" fontId="2" fillId="0" borderId="0" xfId="2" applyNumberFormat="1" applyFont="1" applyBorder="1" applyAlignment="1" applyProtection="1">
      <alignment vertical="center"/>
    </xf>
    <xf numFmtId="43" fontId="11" fillId="0" borderId="0" xfId="2" applyFont="1" applyBorder="1" applyAlignment="1" applyProtection="1">
      <alignment vertical="center"/>
    </xf>
    <xf numFmtId="43" fontId="0" fillId="4" borderId="15" xfId="2" applyFont="1" applyFill="1" applyBorder="1" applyAlignment="1" applyProtection="1">
      <alignment vertical="center"/>
    </xf>
    <xf numFmtId="166" fontId="2" fillId="0" borderId="12" xfId="2" applyNumberFormat="1" applyFont="1" applyBorder="1" applyAlignment="1" applyProtection="1">
      <alignment vertical="center"/>
    </xf>
    <xf numFmtId="43" fontId="11" fillId="0" borderId="12" xfId="2" applyFont="1" applyBorder="1" applyAlignment="1" applyProtection="1">
      <alignment vertical="center"/>
    </xf>
    <xf numFmtId="43" fontId="2" fillId="0" borderId="12" xfId="2" applyFont="1" applyBorder="1" applyAlignment="1" applyProtection="1">
      <alignment vertical="center"/>
    </xf>
    <xf numFmtId="43" fontId="2" fillId="0" borderId="13" xfId="2" applyFont="1" applyBorder="1" applyAlignment="1" applyProtection="1">
      <alignment vertical="center"/>
    </xf>
    <xf numFmtId="43" fontId="6" fillId="4" borderId="60" xfId="2" applyFont="1" applyFill="1" applyBorder="1" applyAlignment="1" applyProtection="1">
      <alignment horizontal="left" vertical="center"/>
    </xf>
    <xf numFmtId="43" fontId="0" fillId="4" borderId="17" xfId="2" applyFont="1" applyFill="1" applyBorder="1" applyAlignment="1" applyProtection="1">
      <alignment vertical="center"/>
    </xf>
    <xf numFmtId="43" fontId="0" fillId="4" borderId="61" xfId="2" applyFont="1" applyFill="1" applyBorder="1" applyAlignment="1" applyProtection="1">
      <alignment vertical="center"/>
    </xf>
    <xf numFmtId="43" fontId="2" fillId="0" borderId="5" xfId="2" applyFont="1" applyBorder="1" applyAlignment="1" applyProtection="1">
      <alignment vertical="center"/>
    </xf>
    <xf numFmtId="43" fontId="2" fillId="0" borderId="6" xfId="2" applyFont="1" applyBorder="1" applyAlignment="1" applyProtection="1">
      <alignment vertical="center"/>
    </xf>
    <xf numFmtId="43" fontId="2" fillId="0" borderId="7" xfId="2" applyFont="1" applyBorder="1" applyAlignment="1" applyProtection="1">
      <alignment vertical="center"/>
    </xf>
    <xf numFmtId="43" fontId="25" fillId="12" borderId="6" xfId="2" applyFont="1" applyFill="1" applyBorder="1" applyAlignment="1" applyProtection="1">
      <alignment vertical="center"/>
    </xf>
    <xf numFmtId="43" fontId="10" fillId="12" borderId="0" xfId="2" applyFont="1" applyFill="1" applyBorder="1" applyAlignment="1" applyProtection="1">
      <alignment vertical="center"/>
    </xf>
    <xf numFmtId="43" fontId="2" fillId="12" borderId="0" xfId="2" applyFont="1" applyFill="1" applyAlignment="1" applyProtection="1">
      <alignment vertical="center"/>
    </xf>
    <xf numFmtId="43" fontId="1" fillId="2" borderId="153" xfId="2" applyFont="1" applyFill="1" applyBorder="1" applyAlignment="1" applyProtection="1">
      <alignment vertical="center"/>
    </xf>
    <xf numFmtId="43" fontId="1" fillId="2" borderId="2" xfId="2" applyFont="1" applyFill="1" applyBorder="1" applyAlignment="1" applyProtection="1">
      <alignment vertical="center"/>
    </xf>
    <xf numFmtId="43" fontId="0" fillId="4" borderId="264" xfId="2" applyFont="1" applyFill="1" applyBorder="1" applyAlignment="1" applyProtection="1">
      <alignment vertical="center"/>
    </xf>
    <xf numFmtId="43" fontId="1" fillId="2" borderId="153" xfId="2" applyFont="1" applyFill="1" applyBorder="1" applyAlignment="1" applyProtection="1">
      <alignment horizontal="left" vertical="center"/>
    </xf>
    <xf numFmtId="43" fontId="1" fillId="2" borderId="2" xfId="2" applyFont="1" applyFill="1" applyBorder="1" applyAlignment="1" applyProtection="1">
      <alignment horizontal="left" vertical="center"/>
    </xf>
    <xf numFmtId="43" fontId="0" fillId="7" borderId="8" xfId="2" applyFont="1" applyFill="1" applyBorder="1" applyAlignment="1" applyProtection="1">
      <alignment vertical="center"/>
    </xf>
    <xf numFmtId="43" fontId="2" fillId="0" borderId="93" xfId="2" applyFont="1" applyBorder="1" applyAlignment="1" applyProtection="1">
      <alignment vertical="center"/>
    </xf>
    <xf numFmtId="43" fontId="11" fillId="0" borderId="93" xfId="2" applyFont="1" applyBorder="1" applyAlignment="1" applyProtection="1">
      <alignment vertical="center"/>
    </xf>
    <xf numFmtId="43" fontId="0" fillId="7" borderId="12" xfId="2" applyFont="1" applyFill="1" applyBorder="1" applyAlignment="1" applyProtection="1">
      <alignment vertical="center"/>
    </xf>
    <xf numFmtId="43" fontId="0" fillId="0" borderId="93" xfId="2" applyFont="1" applyFill="1" applyBorder="1" applyAlignment="1" applyProtection="1">
      <alignment vertical="center"/>
    </xf>
    <xf numFmtId="43" fontId="6" fillId="0" borderId="0" xfId="2" applyFont="1" applyFill="1" applyBorder="1" applyAlignment="1" applyProtection="1">
      <alignment horizontal="left" vertical="center"/>
    </xf>
    <xf numFmtId="43" fontId="2" fillId="0" borderId="0" xfId="2" applyFont="1" applyFill="1" applyAlignment="1" applyProtection="1">
      <alignment vertical="center"/>
    </xf>
    <xf numFmtId="43" fontId="2" fillId="0" borderId="8" xfId="2" applyFont="1" applyFill="1" applyBorder="1" applyAlignment="1" applyProtection="1">
      <alignment vertical="center"/>
    </xf>
    <xf numFmtId="43" fontId="2" fillId="0" borderId="9" xfId="2" applyFont="1" applyFill="1" applyBorder="1" applyAlignment="1" applyProtection="1">
      <alignment vertical="center"/>
    </xf>
    <xf numFmtId="43" fontId="2" fillId="0" borderId="85" xfId="2" applyFont="1" applyFill="1" applyBorder="1" applyAlignment="1" applyProtection="1">
      <alignment vertical="center"/>
    </xf>
    <xf numFmtId="43" fontId="1" fillId="3" borderId="0" xfId="2" applyFont="1" applyFill="1" applyBorder="1" applyAlignment="1" applyProtection="1">
      <alignment horizontal="center" vertical="center"/>
    </xf>
    <xf numFmtId="43" fontId="1" fillId="3" borderId="9" xfId="2" applyFont="1" applyFill="1" applyBorder="1" applyAlignment="1" applyProtection="1">
      <alignment horizontal="center" vertical="center"/>
    </xf>
    <xf numFmtId="43" fontId="10" fillId="5" borderId="8" xfId="2" applyFont="1" applyFill="1" applyBorder="1" applyAlignment="1" applyProtection="1">
      <alignment vertical="center"/>
    </xf>
    <xf numFmtId="43" fontId="10" fillId="5" borderId="0" xfId="2" applyFont="1" applyFill="1" applyAlignment="1" applyProtection="1">
      <alignment vertical="center"/>
    </xf>
    <xf numFmtId="43" fontId="12" fillId="5" borderId="0" xfId="2" applyFont="1" applyFill="1" applyAlignment="1" applyProtection="1">
      <alignment horizontal="center" vertical="center"/>
    </xf>
    <xf numFmtId="43" fontId="2" fillId="5" borderId="0" xfId="2" applyFont="1" applyFill="1" applyAlignment="1" applyProtection="1">
      <alignment vertical="center"/>
    </xf>
    <xf numFmtId="43" fontId="20" fillId="5" borderId="0" xfId="2" applyFont="1" applyFill="1" applyAlignment="1" applyProtection="1">
      <alignment horizontal="center" vertical="center"/>
    </xf>
    <xf numFmtId="43" fontId="10" fillId="5" borderId="9" xfId="2" applyFont="1" applyFill="1" applyBorder="1" applyAlignment="1" applyProtection="1">
      <alignment vertical="center"/>
    </xf>
    <xf numFmtId="0" fontId="0" fillId="7" borderId="16" xfId="2" applyNumberFormat="1" applyFont="1" applyFill="1" applyBorder="1" applyAlignment="1" applyProtection="1">
      <alignment vertical="center" wrapText="1"/>
    </xf>
    <xf numFmtId="43" fontId="0" fillId="17" borderId="7" xfId="2" applyFont="1" applyFill="1" applyBorder="1" applyAlignment="1" applyProtection="1">
      <alignment vertical="center"/>
    </xf>
    <xf numFmtId="43" fontId="31" fillId="0" borderId="5" xfId="4" applyNumberFormat="1" applyBorder="1" applyAlignment="1" applyProtection="1">
      <alignment vertical="center"/>
    </xf>
    <xf numFmtId="43" fontId="0" fillId="0" borderId="6" xfId="2" applyFont="1" applyFill="1" applyBorder="1" applyAlignment="1" applyProtection="1">
      <alignment horizontal="center" vertical="center"/>
    </xf>
    <xf numFmtId="0" fontId="0" fillId="7" borderId="15" xfId="2" applyNumberFormat="1" applyFont="1" applyFill="1" applyBorder="1" applyAlignment="1" applyProtection="1">
      <alignment vertical="center"/>
    </xf>
    <xf numFmtId="43" fontId="0" fillId="17" borderId="216" xfId="2" applyFont="1" applyFill="1" applyBorder="1" applyAlignment="1" applyProtection="1">
      <alignment vertical="center"/>
    </xf>
    <xf numFmtId="43" fontId="0" fillId="4" borderId="5" xfId="2" applyFont="1" applyFill="1" applyBorder="1" applyAlignment="1" applyProtection="1">
      <alignment vertical="center"/>
    </xf>
    <xf numFmtId="43" fontId="0" fillId="4" borderId="6" xfId="2" applyFont="1" applyFill="1" applyBorder="1" applyAlignment="1" applyProtection="1">
      <alignment vertical="center"/>
    </xf>
    <xf numFmtId="43" fontId="0" fillId="4" borderId="7" xfId="2" applyFont="1" applyFill="1" applyBorder="1" applyAlignment="1" applyProtection="1">
      <alignment vertical="center"/>
    </xf>
    <xf numFmtId="43" fontId="31" fillId="0" borderId="8" xfId="4" applyNumberFormat="1" applyBorder="1" applyAlignment="1" applyProtection="1">
      <alignment vertical="center"/>
    </xf>
    <xf numFmtId="43" fontId="0" fillId="0" borderId="0" xfId="2" applyFont="1" applyFill="1" applyBorder="1" applyAlignment="1" applyProtection="1">
      <alignment horizontal="center" vertical="center"/>
    </xf>
    <xf numFmtId="43" fontId="0" fillId="7" borderId="16" xfId="2" applyFont="1" applyFill="1" applyBorder="1" applyAlignment="1" applyProtection="1">
      <alignment vertical="center" wrapText="1"/>
    </xf>
    <xf numFmtId="43" fontId="0" fillId="7" borderId="15" xfId="2" applyFont="1" applyFill="1" applyBorder="1" applyAlignment="1" applyProtection="1">
      <alignment vertical="center"/>
    </xf>
    <xf numFmtId="0" fontId="0" fillId="7" borderId="16" xfId="2" applyNumberFormat="1" applyFont="1" applyFill="1" applyBorder="1" applyAlignment="1" applyProtection="1">
      <alignment vertical="center"/>
    </xf>
    <xf numFmtId="43" fontId="31" fillId="0" borderId="11" xfId="4" applyNumberFormat="1" applyBorder="1" applyAlignment="1" applyProtection="1">
      <alignment vertical="center"/>
    </xf>
    <xf numFmtId="43" fontId="2" fillId="0" borderId="103" xfId="2" applyFont="1" applyBorder="1" applyAlignment="1" applyProtection="1">
      <alignment vertical="center"/>
    </xf>
    <xf numFmtId="43" fontId="0" fillId="5" borderId="5" xfId="2" applyFont="1" applyFill="1" applyBorder="1" applyAlignment="1" applyProtection="1">
      <alignment vertical="center"/>
    </xf>
    <xf numFmtId="43" fontId="0" fillId="5" borderId="6" xfId="2" applyFont="1" applyFill="1" applyBorder="1" applyAlignment="1" applyProtection="1">
      <alignment vertical="center"/>
    </xf>
    <xf numFmtId="43" fontId="2" fillId="5" borderId="6" xfId="2" applyFont="1" applyFill="1" applyBorder="1" applyAlignment="1" applyProtection="1">
      <alignment vertical="center"/>
    </xf>
    <xf numFmtId="43" fontId="0" fillId="5" borderId="7" xfId="2" applyFont="1" applyFill="1" applyBorder="1" applyAlignment="1" applyProtection="1">
      <alignment vertical="center"/>
    </xf>
    <xf numFmtId="43" fontId="31" fillId="0" borderId="0" xfId="4" applyNumberFormat="1" applyBorder="1" applyAlignment="1" applyProtection="1">
      <alignment vertical="center"/>
    </xf>
    <xf numFmtId="43" fontId="2" fillId="0" borderId="11" xfId="2" applyFont="1" applyBorder="1" applyAlignment="1" applyProtection="1">
      <alignment vertical="center"/>
    </xf>
    <xf numFmtId="43" fontId="12" fillId="12" borderId="0" xfId="2" applyFont="1" applyFill="1" applyBorder="1" applyAlignment="1" applyProtection="1">
      <alignment vertical="center"/>
    </xf>
    <xf numFmtId="43" fontId="12" fillId="12" borderId="0" xfId="2" applyFont="1" applyFill="1" applyBorder="1" applyAlignment="1" applyProtection="1">
      <alignment horizontal="center" vertical="center" wrapText="1"/>
    </xf>
    <xf numFmtId="43" fontId="5" fillId="12" borderId="31" xfId="2" applyFont="1" applyFill="1" applyBorder="1" applyAlignment="1" applyProtection="1">
      <alignment horizontal="center" vertical="center"/>
    </xf>
    <xf numFmtId="43" fontId="12" fillId="12" borderId="12" xfId="2" applyFont="1" applyFill="1" applyBorder="1" applyAlignment="1" applyProtection="1">
      <alignment horizontal="center" vertical="center" wrapText="1"/>
    </xf>
    <xf numFmtId="43" fontId="0" fillId="5" borderId="97" xfId="2" applyFont="1" applyFill="1" applyBorder="1" applyAlignment="1" applyProtection="1">
      <alignment vertical="center"/>
    </xf>
    <xf numFmtId="166" fontId="11" fillId="0" borderId="6" xfId="2" applyNumberFormat="1" applyFont="1" applyFill="1" applyBorder="1" applyAlignment="1" applyProtection="1">
      <alignment vertical="center"/>
    </xf>
    <xf numFmtId="166" fontId="11" fillId="0" borderId="0" xfId="2" applyNumberFormat="1" applyFont="1" applyFill="1" applyBorder="1" applyAlignment="1" applyProtection="1">
      <alignment vertical="center"/>
    </xf>
    <xf numFmtId="166" fontId="11" fillId="0" borderId="12" xfId="2" applyNumberFormat="1" applyFont="1" applyFill="1" applyBorder="1" applyAlignment="1" applyProtection="1">
      <alignment vertical="center"/>
    </xf>
    <xf numFmtId="43" fontId="0" fillId="5" borderId="52" xfId="2" applyFont="1" applyFill="1" applyBorder="1" applyAlignment="1" applyProtection="1">
      <alignment vertical="center"/>
    </xf>
    <xf numFmtId="43" fontId="0" fillId="12" borderId="5" xfId="2" applyFont="1" applyFill="1" applyBorder="1" applyAlignment="1" applyProtection="1">
      <alignment vertical="center"/>
    </xf>
    <xf numFmtId="43" fontId="0" fillId="12" borderId="6" xfId="2" applyFont="1" applyFill="1" applyBorder="1" applyAlignment="1" applyProtection="1">
      <alignment vertical="center"/>
    </xf>
    <xf numFmtId="43" fontId="0" fillId="12" borderId="7" xfId="2" applyFont="1" applyFill="1" applyBorder="1" applyAlignment="1" applyProtection="1">
      <alignment vertical="center"/>
    </xf>
    <xf numFmtId="43" fontId="0" fillId="12" borderId="8" xfId="2" applyFont="1" applyFill="1" applyBorder="1" applyAlignment="1" applyProtection="1">
      <alignment vertical="center"/>
    </xf>
    <xf numFmtId="43" fontId="5" fillId="12" borderId="0" xfId="2" applyFont="1" applyFill="1" applyBorder="1" applyAlignment="1" applyProtection="1">
      <alignment vertical="center"/>
    </xf>
    <xf numFmtId="43" fontId="0" fillId="12" borderId="0" xfId="2" applyFont="1" applyFill="1" applyBorder="1" applyAlignment="1" applyProtection="1">
      <alignment vertical="center"/>
    </xf>
    <xf numFmtId="43" fontId="0" fillId="12" borderId="9" xfId="2" applyFont="1" applyFill="1" applyBorder="1" applyAlignment="1" applyProtection="1">
      <alignment vertical="center"/>
    </xf>
    <xf numFmtId="43" fontId="0" fillId="12" borderId="11" xfId="2" applyFont="1" applyFill="1" applyBorder="1" applyAlignment="1" applyProtection="1">
      <alignment vertical="center"/>
    </xf>
    <xf numFmtId="43" fontId="0" fillId="12" borderId="12" xfId="2" applyFont="1" applyFill="1" applyBorder="1" applyAlignment="1" applyProtection="1">
      <alignment vertical="center"/>
    </xf>
    <xf numFmtId="43" fontId="0" fillId="12" borderId="13" xfId="2" applyFont="1" applyFill="1" applyBorder="1" applyAlignment="1" applyProtection="1">
      <alignment vertical="center"/>
    </xf>
    <xf numFmtId="43" fontId="0" fillId="7" borderId="5" xfId="2" applyFont="1" applyFill="1" applyBorder="1" applyAlignment="1" applyProtection="1">
      <alignment vertical="center"/>
    </xf>
    <xf numFmtId="43" fontId="0" fillId="7" borderId="6" xfId="2" applyFont="1" applyFill="1" applyBorder="1" applyAlignment="1" applyProtection="1">
      <alignment vertical="center"/>
    </xf>
    <xf numFmtId="43" fontId="0" fillId="7" borderId="7" xfId="2" applyFont="1" applyFill="1" applyBorder="1" applyAlignment="1" applyProtection="1">
      <alignment vertical="center"/>
    </xf>
    <xf numFmtId="43" fontId="0" fillId="7" borderId="0" xfId="2" applyFont="1" applyFill="1" applyBorder="1" applyAlignment="1" applyProtection="1">
      <alignment vertical="center"/>
    </xf>
    <xf numFmtId="43" fontId="0" fillId="7" borderId="9" xfId="2" applyFont="1" applyFill="1" applyBorder="1" applyAlignment="1" applyProtection="1">
      <alignment vertical="center"/>
    </xf>
    <xf numFmtId="43" fontId="0" fillId="4" borderId="184" xfId="2" applyFont="1" applyFill="1" applyBorder="1" applyAlignment="1" applyProtection="1">
      <alignment vertical="center"/>
    </xf>
    <xf numFmtId="43" fontId="0" fillId="7" borderId="11" xfId="2" applyFont="1" applyFill="1" applyBorder="1" applyAlignment="1" applyProtection="1">
      <alignment vertical="center"/>
    </xf>
    <xf numFmtId="43" fontId="6" fillId="4" borderId="11" xfId="2" applyFont="1" applyFill="1" applyBorder="1" applyAlignment="1" applyProtection="1">
      <alignment vertical="center"/>
    </xf>
    <xf numFmtId="43" fontId="0" fillId="4" borderId="182" xfId="2" applyFont="1" applyFill="1" applyBorder="1" applyAlignment="1" applyProtection="1">
      <alignment vertical="center"/>
    </xf>
    <xf numFmtId="43" fontId="0" fillId="4" borderId="183" xfId="2" applyFont="1" applyFill="1" applyBorder="1" applyAlignment="1" applyProtection="1">
      <alignment vertical="center"/>
    </xf>
    <xf numFmtId="43" fontId="0" fillId="7" borderId="13" xfId="2" applyFont="1" applyFill="1" applyBorder="1" applyAlignment="1" applyProtection="1">
      <alignment vertical="center"/>
    </xf>
    <xf numFmtId="43" fontId="2" fillId="7" borderId="93" xfId="2" applyFont="1" applyFill="1" applyBorder="1" applyAlignment="1" applyProtection="1">
      <alignment vertical="center"/>
    </xf>
    <xf numFmtId="43" fontId="11" fillId="0" borderId="93" xfId="2" applyFont="1" applyFill="1" applyBorder="1" applyAlignment="1" applyProtection="1">
      <alignment vertical="center"/>
    </xf>
    <xf numFmtId="43" fontId="0" fillId="7" borderId="93" xfId="2" applyFont="1" applyFill="1" applyBorder="1" applyAlignment="1" applyProtection="1">
      <alignment vertical="center"/>
    </xf>
    <xf numFmtId="43" fontId="1" fillId="3" borderId="0" xfId="2" applyFont="1" applyFill="1" applyBorder="1" applyAlignment="1" applyProtection="1">
      <alignment horizontal="left" vertical="center" wrapText="1"/>
    </xf>
    <xf numFmtId="43" fontId="1" fillId="3" borderId="0" xfId="2" applyFont="1" applyFill="1" applyBorder="1" applyAlignment="1" applyProtection="1">
      <alignment horizontal="left" vertical="center"/>
    </xf>
    <xf numFmtId="0" fontId="0" fillId="5" borderId="172" xfId="0" applyFill="1" applyBorder="1"/>
    <xf numFmtId="43" fontId="11" fillId="0" borderId="0" xfId="2" applyFont="1" applyFill="1" applyBorder="1" applyAlignment="1" applyProtection="1">
      <alignment vertical="center"/>
    </xf>
    <xf numFmtId="0" fontId="18" fillId="0" borderId="9" xfId="0" applyFont="1" applyBorder="1" applyAlignment="1">
      <alignment vertical="center"/>
    </xf>
    <xf numFmtId="43" fontId="2" fillId="0" borderId="12" xfId="2" applyFont="1" applyFill="1" applyBorder="1" applyAlignment="1" applyProtection="1">
      <alignment vertical="center"/>
    </xf>
    <xf numFmtId="43" fontId="11" fillId="0" borderId="12" xfId="2" applyFont="1" applyFill="1" applyBorder="1" applyAlignment="1" applyProtection="1">
      <alignment vertical="center"/>
    </xf>
    <xf numFmtId="43" fontId="0" fillId="5" borderId="163" xfId="2" applyFont="1" applyFill="1" applyBorder="1" applyAlignment="1" applyProtection="1">
      <alignment vertical="center"/>
    </xf>
    <xf numFmtId="43" fontId="0" fillId="5" borderId="20" xfId="2" applyFont="1" applyFill="1" applyBorder="1" applyAlignment="1" applyProtection="1">
      <alignment vertical="center"/>
    </xf>
    <xf numFmtId="43" fontId="2" fillId="7" borderId="172" xfId="2" applyFont="1" applyFill="1" applyBorder="1" applyAlignment="1" applyProtection="1">
      <alignment vertical="center"/>
    </xf>
    <xf numFmtId="43" fontId="6" fillId="4" borderId="17" xfId="2" applyFont="1" applyFill="1" applyBorder="1" applyAlignment="1" applyProtection="1">
      <alignment horizontal="left" vertical="center"/>
    </xf>
    <xf numFmtId="43" fontId="18" fillId="4" borderId="17" xfId="2" applyFont="1" applyFill="1" applyBorder="1" applyAlignment="1" applyProtection="1">
      <alignment horizontal="left" vertical="center"/>
    </xf>
    <xf numFmtId="43" fontId="1" fillId="2" borderId="153" xfId="2" applyFont="1" applyFill="1" applyBorder="1" applyAlignment="1" applyProtection="1">
      <alignment horizontal="center" vertical="center"/>
    </xf>
    <xf numFmtId="43" fontId="1" fillId="2" borderId="2" xfId="2" applyFont="1" applyFill="1" applyBorder="1" applyAlignment="1" applyProtection="1">
      <alignment horizontal="center" vertical="center"/>
    </xf>
    <xf numFmtId="165" fontId="2" fillId="0" borderId="6" xfId="2" applyNumberFormat="1" applyFont="1" applyBorder="1" applyAlignment="1" applyProtection="1">
      <alignment vertical="center"/>
    </xf>
    <xf numFmtId="43" fontId="11" fillId="0" borderId="7" xfId="2" applyFont="1" applyBorder="1" applyAlignment="1" applyProtection="1">
      <alignment vertical="center"/>
    </xf>
    <xf numFmtId="165" fontId="2" fillId="0" borderId="0" xfId="2" applyNumberFormat="1" applyFont="1" applyBorder="1" applyAlignment="1" applyProtection="1">
      <alignment vertical="center"/>
    </xf>
    <xf numFmtId="43" fontId="11" fillId="0" borderId="9" xfId="2" applyFont="1" applyBorder="1" applyAlignment="1" applyProtection="1">
      <alignment vertical="center"/>
    </xf>
    <xf numFmtId="165" fontId="2" fillId="0" borderId="12" xfId="2" applyNumberFormat="1" applyFont="1" applyBorder="1" applyAlignment="1" applyProtection="1">
      <alignment vertical="center"/>
    </xf>
    <xf numFmtId="43" fontId="11" fillId="0" borderId="13" xfId="2" applyFont="1" applyBorder="1" applyAlignment="1" applyProtection="1">
      <alignment vertical="center"/>
    </xf>
    <xf numFmtId="43" fontId="12" fillId="12" borderId="0" xfId="2" applyFont="1" applyFill="1" applyBorder="1" applyAlignment="1" applyProtection="1">
      <alignment horizontal="center" vertical="center"/>
    </xf>
    <xf numFmtId="43" fontId="2" fillId="12" borderId="0" xfId="2" applyFont="1" applyFill="1" applyBorder="1" applyAlignment="1" applyProtection="1">
      <alignment vertical="center"/>
    </xf>
    <xf numFmtId="43" fontId="5" fillId="12" borderId="12" xfId="2" applyFont="1" applyFill="1" applyBorder="1" applyAlignment="1" applyProtection="1">
      <alignment vertical="center"/>
    </xf>
    <xf numFmtId="43" fontId="5" fillId="12" borderId="12" xfId="2" applyFont="1" applyFill="1" applyBorder="1" applyAlignment="1" applyProtection="1">
      <alignment horizontal="center" wrapText="1"/>
    </xf>
    <xf numFmtId="43" fontId="5" fillId="12" borderId="12" xfId="2" applyFont="1" applyFill="1" applyBorder="1" applyAlignment="1" applyProtection="1">
      <alignment vertical="center" wrapText="1"/>
    </xf>
    <xf numFmtId="9" fontId="2" fillId="5" borderId="0" xfId="1" applyFont="1" applyFill="1" applyBorder="1" applyAlignment="1" applyProtection="1">
      <alignment vertical="center"/>
    </xf>
    <xf numFmtId="43" fontId="5" fillId="12" borderId="0" xfId="2" applyFont="1" applyFill="1" applyAlignment="1" applyProtection="1">
      <alignment vertical="center"/>
    </xf>
    <xf numFmtId="43" fontId="0" fillId="7" borderId="16" xfId="2" applyFont="1" applyFill="1" applyBorder="1" applyAlignment="1" applyProtection="1">
      <alignment vertical="center"/>
    </xf>
    <xf numFmtId="43" fontId="6" fillId="7" borderId="0" xfId="2" applyFont="1" applyFill="1" applyAlignment="1" applyProtection="1">
      <alignment vertical="center"/>
    </xf>
    <xf numFmtId="43" fontId="0" fillId="17" borderId="101" xfId="2" applyFont="1" applyFill="1" applyBorder="1" applyAlignment="1" applyProtection="1">
      <alignment vertical="center"/>
    </xf>
    <xf numFmtId="43" fontId="11" fillId="0" borderId="155" xfId="2" applyFont="1" applyFill="1" applyBorder="1" applyAlignment="1" applyProtection="1">
      <alignment horizontal="right" vertical="center"/>
    </xf>
    <xf numFmtId="43" fontId="0" fillId="17" borderId="127" xfId="2" applyFont="1" applyFill="1" applyBorder="1" applyAlignment="1" applyProtection="1">
      <alignment vertical="center"/>
    </xf>
    <xf numFmtId="43" fontId="11" fillId="0" borderId="85" xfId="2" applyFont="1" applyFill="1" applyBorder="1" applyAlignment="1" applyProtection="1">
      <alignment horizontal="right" vertical="center"/>
    </xf>
    <xf numFmtId="43" fontId="0" fillId="17" borderId="56" xfId="2" applyFont="1" applyFill="1" applyBorder="1" applyAlignment="1" applyProtection="1">
      <alignment vertical="center"/>
    </xf>
    <xf numFmtId="43" fontId="0" fillId="17" borderId="23" xfId="2" applyFont="1" applyFill="1" applyBorder="1" applyAlignment="1" applyProtection="1">
      <alignment vertical="center"/>
    </xf>
    <xf numFmtId="43" fontId="11" fillId="0" borderId="156" xfId="2" applyFont="1" applyFill="1" applyBorder="1" applyAlignment="1" applyProtection="1">
      <alignment horizontal="right" vertical="center"/>
    </xf>
    <xf numFmtId="43" fontId="0" fillId="0" borderId="6" xfId="2" applyFont="1" applyFill="1" applyBorder="1" applyAlignment="1" applyProtection="1">
      <alignment vertical="center"/>
    </xf>
    <xf numFmtId="43" fontId="2" fillId="0" borderId="6" xfId="2" applyFont="1" applyFill="1" applyBorder="1" applyAlignment="1" applyProtection="1">
      <alignment vertical="center"/>
    </xf>
    <xf numFmtId="43" fontId="2" fillId="12" borderId="6" xfId="2" applyFont="1" applyFill="1" applyBorder="1" applyAlignment="1" applyProtection="1">
      <alignment vertical="center"/>
    </xf>
    <xf numFmtId="43" fontId="6" fillId="12" borderId="6" xfId="2" applyFont="1" applyFill="1" applyBorder="1" applyAlignment="1" applyProtection="1">
      <alignment horizontal="left" vertical="center"/>
    </xf>
    <xf numFmtId="43" fontId="6" fillId="12" borderId="0" xfId="2" applyFont="1" applyFill="1" applyBorder="1" applyAlignment="1" applyProtection="1">
      <alignment horizontal="left" vertical="center"/>
    </xf>
    <xf numFmtId="43" fontId="6" fillId="12" borderId="12" xfId="2" applyFont="1" applyFill="1" applyBorder="1" applyAlignment="1" applyProtection="1">
      <alignment horizontal="left" vertical="center"/>
    </xf>
    <xf numFmtId="43" fontId="6" fillId="5" borderId="6" xfId="2" applyFont="1" applyFill="1" applyBorder="1" applyAlignment="1" applyProtection="1">
      <alignment horizontal="left" vertical="center"/>
    </xf>
    <xf numFmtId="43" fontId="2" fillId="0" borderId="155" xfId="2" applyFont="1" applyFill="1" applyBorder="1" applyAlignment="1" applyProtection="1">
      <alignment vertical="center"/>
    </xf>
    <xf numFmtId="43" fontId="2" fillId="5" borderId="0" xfId="2" applyFont="1" applyFill="1" applyBorder="1" applyAlignment="1" applyProtection="1">
      <alignment vertical="center"/>
    </xf>
    <xf numFmtId="43" fontId="18" fillId="4" borderId="5" xfId="2" applyFont="1" applyFill="1" applyBorder="1" applyAlignment="1" applyProtection="1">
      <alignment horizontal="left" vertical="center"/>
    </xf>
    <xf numFmtId="43" fontId="0" fillId="5" borderId="85" xfId="2" applyFont="1" applyFill="1" applyBorder="1" applyAlignment="1" applyProtection="1">
      <alignment vertical="center"/>
    </xf>
    <xf numFmtId="43" fontId="18" fillId="4" borderId="8" xfId="2" applyFont="1" applyFill="1" applyBorder="1" applyAlignment="1" applyProtection="1">
      <alignment horizontal="left" vertical="center"/>
    </xf>
    <xf numFmtId="43" fontId="18" fillId="4" borderId="0" xfId="2" applyFont="1" applyFill="1" applyBorder="1" applyAlignment="1" applyProtection="1">
      <alignment horizontal="left" vertical="center"/>
    </xf>
    <xf numFmtId="43" fontId="0" fillId="4" borderId="121" xfId="2" applyFont="1" applyFill="1" applyBorder="1" applyAlignment="1" applyProtection="1">
      <alignment vertical="center"/>
    </xf>
    <xf numFmtId="43" fontId="2" fillId="0" borderId="156" xfId="2" applyFont="1" applyFill="1" applyBorder="1" applyAlignment="1" applyProtection="1">
      <alignment vertical="center"/>
    </xf>
    <xf numFmtId="43" fontId="2" fillId="0" borderId="11" xfId="2" applyFont="1" applyFill="1" applyBorder="1" applyAlignment="1" applyProtection="1">
      <alignment vertical="center"/>
    </xf>
    <xf numFmtId="43" fontId="2" fillId="0" borderId="13" xfId="2" applyFont="1" applyFill="1" applyBorder="1" applyAlignment="1" applyProtection="1">
      <alignment vertical="center"/>
    </xf>
    <xf numFmtId="43" fontId="2" fillId="5" borderId="12" xfId="2" applyFont="1" applyFill="1" applyBorder="1" applyAlignment="1" applyProtection="1">
      <alignment vertical="center"/>
    </xf>
    <xf numFmtId="43" fontId="6" fillId="4" borderId="126" xfId="2" applyFont="1" applyFill="1" applyBorder="1" applyAlignment="1" applyProtection="1">
      <alignment horizontal="left" vertical="center"/>
    </xf>
    <xf numFmtId="43" fontId="0" fillId="4" borderId="14" xfId="2" applyFont="1" applyFill="1" applyBorder="1" applyAlignment="1" applyProtection="1">
      <alignment vertical="center"/>
    </xf>
    <xf numFmtId="43" fontId="0" fillId="4" borderId="13" xfId="2" applyFont="1" applyFill="1" applyBorder="1" applyAlignment="1" applyProtection="1">
      <alignment vertical="center"/>
    </xf>
    <xf numFmtId="43" fontId="6" fillId="4" borderId="262" xfId="2" applyFont="1" applyFill="1" applyBorder="1" applyAlignment="1" applyProtection="1">
      <alignment horizontal="left" vertical="center"/>
    </xf>
    <xf numFmtId="43" fontId="10" fillId="17" borderId="96" xfId="2" applyFont="1" applyFill="1" applyBorder="1" applyAlignment="1" applyProtection="1">
      <alignment vertical="center"/>
    </xf>
    <xf numFmtId="43" fontId="11" fillId="0" borderId="111" xfId="2" applyFont="1" applyFill="1" applyBorder="1" applyAlignment="1" applyProtection="1">
      <alignment horizontal="right" vertical="center"/>
    </xf>
    <xf numFmtId="43" fontId="5" fillId="12" borderId="31" xfId="2" applyFont="1" applyFill="1" applyBorder="1" applyAlignment="1" applyProtection="1">
      <alignment vertical="center"/>
    </xf>
    <xf numFmtId="43" fontId="2" fillId="5" borderId="4" xfId="2" applyFont="1" applyFill="1" applyBorder="1" applyAlignment="1" applyProtection="1">
      <alignment vertical="center"/>
    </xf>
    <xf numFmtId="166" fontId="2" fillId="0" borderId="5" xfId="2" applyNumberFormat="1" applyFont="1" applyFill="1" applyBorder="1" applyAlignment="1" applyProtection="1">
      <alignment vertical="center"/>
    </xf>
    <xf numFmtId="43" fontId="11" fillId="0" borderId="6" xfId="2" applyFont="1" applyFill="1" applyBorder="1" applyAlignment="1" applyProtection="1">
      <alignment horizontal="center" vertical="center"/>
    </xf>
    <xf numFmtId="166" fontId="2" fillId="0" borderId="8" xfId="2" applyNumberFormat="1" applyFont="1" applyFill="1" applyBorder="1" applyAlignment="1" applyProtection="1">
      <alignment vertical="center"/>
    </xf>
    <xf numFmtId="43" fontId="11" fillId="0" borderId="0" xfId="2" applyFont="1" applyFill="1" applyBorder="1" applyAlignment="1" applyProtection="1">
      <alignment horizontal="center" vertical="center"/>
    </xf>
    <xf numFmtId="166" fontId="2" fillId="0" borderId="11" xfId="2" applyNumberFormat="1" applyFont="1" applyFill="1" applyBorder="1" applyAlignment="1" applyProtection="1">
      <alignment vertical="center"/>
    </xf>
    <xf numFmtId="43" fontId="11" fillId="0" borderId="12" xfId="2" applyFont="1" applyFill="1" applyBorder="1" applyAlignment="1" applyProtection="1">
      <alignment horizontal="center" vertical="center"/>
    </xf>
    <xf numFmtId="43" fontId="1" fillId="2" borderId="8" xfId="2" applyFont="1" applyFill="1" applyBorder="1" applyAlignment="1" applyProtection="1">
      <alignment vertical="center"/>
    </xf>
    <xf numFmtId="43" fontId="0" fillId="17" borderId="226" xfId="2" applyFont="1" applyFill="1" applyBorder="1" applyAlignment="1" applyProtection="1">
      <alignment vertical="center"/>
    </xf>
    <xf numFmtId="43" fontId="0" fillId="17" borderId="225" xfId="2" applyFont="1" applyFill="1" applyBorder="1" applyAlignment="1" applyProtection="1">
      <alignment vertical="center"/>
    </xf>
    <xf numFmtId="43" fontId="2" fillId="0" borderId="102" xfId="2" applyFont="1" applyBorder="1" applyAlignment="1" applyProtection="1">
      <alignment vertical="center"/>
    </xf>
    <xf numFmtId="43" fontId="2" fillId="13" borderId="0" xfId="2" applyFont="1" applyFill="1" applyAlignment="1" applyProtection="1">
      <alignment vertical="center"/>
    </xf>
    <xf numFmtId="43" fontId="0" fillId="13" borderId="0" xfId="2" applyFont="1" applyFill="1" applyBorder="1" applyAlignment="1" applyProtection="1">
      <alignment vertical="center"/>
    </xf>
    <xf numFmtId="43" fontId="2" fillId="13" borderId="0" xfId="2" applyFont="1" applyFill="1" applyBorder="1" applyAlignment="1" applyProtection="1">
      <alignment vertical="center"/>
    </xf>
    <xf numFmtId="43" fontId="6" fillId="13" borderId="0" xfId="2" applyFont="1" applyFill="1" applyBorder="1" applyAlignment="1" applyProtection="1">
      <alignment horizontal="left" vertical="center"/>
    </xf>
    <xf numFmtId="43" fontId="2" fillId="13" borderId="8" xfId="2" applyFont="1" applyFill="1" applyBorder="1" applyAlignment="1" applyProtection="1">
      <alignment vertical="center"/>
    </xf>
    <xf numFmtId="43" fontId="2" fillId="13" borderId="9" xfId="2" applyFont="1" applyFill="1" applyBorder="1" applyAlignment="1" applyProtection="1">
      <alignment vertical="center"/>
    </xf>
    <xf numFmtId="43" fontId="46" fillId="0" borderId="0" xfId="2" applyFont="1" applyFill="1" applyBorder="1" applyAlignment="1" applyProtection="1">
      <alignment vertical="center"/>
    </xf>
    <xf numFmtId="43" fontId="5" fillId="0" borderId="0" xfId="2" applyFont="1" applyBorder="1" applyAlignment="1" applyProtection="1">
      <alignment vertical="center"/>
    </xf>
    <xf numFmtId="43" fontId="1" fillId="0" borderId="8" xfId="2" applyFont="1" applyFill="1" applyBorder="1" applyAlignment="1" applyProtection="1">
      <alignment vertical="center"/>
    </xf>
    <xf numFmtId="43" fontId="0" fillId="0" borderId="236" xfId="0" applyNumberFormat="1" applyBorder="1"/>
    <xf numFmtId="43" fontId="0" fillId="14" borderId="236" xfId="0" applyNumberFormat="1" applyFill="1" applyBorder="1"/>
    <xf numFmtId="43" fontId="12" fillId="0" borderId="0" xfId="2" applyFont="1" applyFill="1" applyBorder="1" applyAlignment="1" applyProtection="1">
      <alignment vertical="center"/>
    </xf>
    <xf numFmtId="43" fontId="11" fillId="0" borderId="0" xfId="2" applyFont="1" applyFill="1" applyBorder="1" applyAlignment="1" applyProtection="1">
      <alignment horizontal="right" vertical="center"/>
    </xf>
    <xf numFmtId="43" fontId="5" fillId="0" borderId="0" xfId="2" applyFont="1" applyAlignment="1" applyProtection="1">
      <alignment vertical="center"/>
    </xf>
    <xf numFmtId="43" fontId="2" fillId="18" borderId="93" xfId="2" applyFont="1" applyFill="1" applyBorder="1" applyAlignment="1" applyProtection="1">
      <alignment vertical="center"/>
      <protection locked="0"/>
    </xf>
    <xf numFmtId="43" fontId="0" fillId="17" borderId="226" xfId="2" applyFont="1" applyFill="1" applyBorder="1" applyAlignment="1" applyProtection="1">
      <alignment vertical="center"/>
      <protection locked="0"/>
    </xf>
    <xf numFmtId="43" fontId="0" fillId="17" borderId="225" xfId="2" applyFont="1" applyFill="1" applyBorder="1" applyAlignment="1" applyProtection="1">
      <alignment vertical="center"/>
      <protection locked="0"/>
    </xf>
    <xf numFmtId="43" fontId="0" fillId="5" borderId="12" xfId="2" applyFont="1" applyFill="1" applyBorder="1" applyAlignment="1" applyProtection="1">
      <alignment vertical="center"/>
      <protection locked="0"/>
    </xf>
    <xf numFmtId="43" fontId="0" fillId="7" borderId="0" xfId="2" applyFont="1" applyFill="1" applyBorder="1" applyAlignment="1" applyProtection="1">
      <alignment horizontal="left" vertical="center"/>
    </xf>
    <xf numFmtId="43" fontId="18" fillId="4" borderId="261" xfId="2" applyFont="1" applyFill="1" applyBorder="1" applyAlignment="1" applyProtection="1">
      <alignment vertical="center"/>
    </xf>
    <xf numFmtId="43" fontId="0" fillId="4" borderId="130" xfId="2" applyFont="1" applyFill="1" applyBorder="1" applyAlignment="1" applyProtection="1">
      <alignment vertical="center"/>
    </xf>
    <xf numFmtId="43" fontId="0" fillId="4" borderId="210" xfId="2" applyFont="1" applyFill="1" applyBorder="1" applyAlignment="1" applyProtection="1">
      <alignment vertical="center"/>
    </xf>
    <xf numFmtId="43" fontId="1" fillId="2" borderId="153" xfId="2" applyFont="1" applyFill="1" applyBorder="1" applyAlignment="1" applyProtection="1">
      <alignment horizontal="left" vertical="center" wrapText="1"/>
    </xf>
    <xf numFmtId="43" fontId="10" fillId="5" borderId="0" xfId="2" applyFont="1" applyFill="1" applyBorder="1" applyAlignment="1" applyProtection="1">
      <alignment vertical="center"/>
    </xf>
    <xf numFmtId="43" fontId="12" fillId="5" borderId="0" xfId="2" applyFont="1" applyFill="1" applyBorder="1" applyAlignment="1" applyProtection="1">
      <alignment horizontal="center" vertical="center"/>
    </xf>
    <xf numFmtId="43" fontId="5" fillId="5" borderId="0" xfId="2" applyFont="1" applyFill="1" applyBorder="1" applyAlignment="1" applyProtection="1">
      <alignment horizontal="center" vertical="center"/>
    </xf>
    <xf numFmtId="43" fontId="5" fillId="5" borderId="0" xfId="2" applyFont="1" applyFill="1" applyBorder="1" applyAlignment="1" applyProtection="1">
      <alignment horizontal="center" vertical="center" wrapText="1"/>
    </xf>
    <xf numFmtId="43" fontId="12" fillId="5" borderId="0" xfId="2" applyFont="1" applyFill="1" applyBorder="1" applyAlignment="1" applyProtection="1">
      <alignment horizontal="center" vertical="center" wrapText="1"/>
    </xf>
    <xf numFmtId="43" fontId="20" fillId="5" borderId="0" xfId="2" applyFont="1" applyFill="1" applyBorder="1" applyAlignment="1" applyProtection="1">
      <alignment horizontal="center" vertical="center"/>
    </xf>
    <xf numFmtId="43" fontId="20" fillId="5" borderId="9" xfId="2" applyFont="1" applyFill="1" applyBorder="1" applyAlignment="1" applyProtection="1">
      <alignment horizontal="center" vertical="center"/>
    </xf>
    <xf numFmtId="43" fontId="11" fillId="0" borderId="9" xfId="2" applyFont="1" applyFill="1" applyBorder="1" applyAlignment="1" applyProtection="1">
      <alignment vertical="center"/>
    </xf>
    <xf numFmtId="43" fontId="11" fillId="0" borderId="13" xfId="2" applyFont="1" applyFill="1" applyBorder="1" applyAlignment="1" applyProtection="1">
      <alignment vertical="center"/>
    </xf>
    <xf numFmtId="43" fontId="0" fillId="5" borderId="19" xfId="2" applyFont="1" applyFill="1" applyBorder="1" applyAlignment="1" applyProtection="1">
      <alignment vertical="center"/>
    </xf>
    <xf numFmtId="43" fontId="0" fillId="0" borderId="0" xfId="2" applyFont="1" applyFill="1" applyAlignment="1" applyProtection="1">
      <alignment vertical="center"/>
    </xf>
    <xf numFmtId="43" fontId="0" fillId="0" borderId="0" xfId="2" applyFont="1" applyFill="1" applyBorder="1" applyAlignment="1" applyProtection="1">
      <alignment vertical="center" wrapText="1"/>
    </xf>
    <xf numFmtId="0" fontId="10" fillId="0" borderId="0" xfId="0" applyFont="1"/>
    <xf numFmtId="9" fontId="2" fillId="0" borderId="0" xfId="1" applyFont="1" applyFill="1" applyBorder="1" applyAlignment="1" applyProtection="1">
      <alignment vertical="center"/>
    </xf>
    <xf numFmtId="43" fontId="2" fillId="0" borderId="8" xfId="2" applyFont="1" applyBorder="1" applyAlignment="1" applyProtection="1">
      <alignment vertical="center" wrapText="1"/>
    </xf>
    <xf numFmtId="43" fontId="2" fillId="4" borderId="0" xfId="2" applyFont="1" applyFill="1" applyAlignment="1" applyProtection="1">
      <alignment vertical="center"/>
    </xf>
    <xf numFmtId="43" fontId="12" fillId="12" borderId="0" xfId="2" applyFont="1" applyFill="1" applyAlignment="1" applyProtection="1">
      <alignment horizontal="center" vertical="center"/>
    </xf>
    <xf numFmtId="43" fontId="20" fillId="12" borderId="0" xfId="2" applyFont="1" applyFill="1" applyAlignment="1" applyProtection="1">
      <alignment horizontal="center" vertical="center"/>
    </xf>
    <xf numFmtId="43" fontId="20" fillId="12" borderId="9" xfId="2" applyFont="1" applyFill="1" applyBorder="1" applyAlignment="1" applyProtection="1">
      <alignment horizontal="center" vertical="center"/>
    </xf>
    <xf numFmtId="43" fontId="0" fillId="17" borderId="35" xfId="2" applyFont="1" applyFill="1" applyBorder="1" applyAlignment="1" applyProtection="1">
      <alignment vertical="center"/>
    </xf>
    <xf numFmtId="0" fontId="10" fillId="5" borderId="0" xfId="0" applyFont="1" applyFill="1"/>
    <xf numFmtId="9" fontId="24" fillId="5" borderId="0" xfId="1" applyFont="1" applyFill="1" applyBorder="1" applyAlignment="1" applyProtection="1">
      <alignment vertical="center"/>
    </xf>
    <xf numFmtId="43" fontId="0" fillId="17" borderId="186" xfId="2" applyFont="1" applyFill="1" applyBorder="1" applyAlignment="1" applyProtection="1">
      <alignment vertical="center"/>
    </xf>
    <xf numFmtId="43" fontId="0" fillId="5" borderId="103" xfId="2" applyFont="1" applyFill="1" applyBorder="1" applyAlignment="1" applyProtection="1">
      <alignment vertical="center"/>
    </xf>
    <xf numFmtId="43" fontId="0" fillId="17" borderId="185" xfId="2" applyFont="1" applyFill="1" applyBorder="1" applyAlignment="1" applyProtection="1">
      <alignment vertical="center"/>
    </xf>
    <xf numFmtId="43" fontId="5" fillId="5" borderId="0" xfId="2" applyFont="1" applyFill="1" applyAlignment="1" applyProtection="1">
      <alignment horizontal="center" vertical="center" wrapText="1"/>
    </xf>
    <xf numFmtId="43" fontId="5" fillId="5" borderId="0" xfId="2" applyFont="1" applyFill="1" applyAlignment="1" applyProtection="1">
      <alignment horizontal="center" vertical="center"/>
    </xf>
    <xf numFmtId="43" fontId="6" fillId="5" borderId="0" xfId="2" applyFont="1" applyFill="1" applyAlignment="1" applyProtection="1">
      <alignment vertical="center"/>
    </xf>
    <xf numFmtId="43" fontId="6" fillId="0" borderId="9" xfId="2" applyFont="1" applyFill="1" applyBorder="1" applyAlignment="1" applyProtection="1">
      <alignment vertical="center"/>
    </xf>
    <xf numFmtId="43" fontId="16" fillId="2" borderId="153" xfId="2" applyFont="1" applyFill="1" applyBorder="1" applyAlignment="1" applyProtection="1">
      <alignment horizontal="center" vertical="center"/>
    </xf>
    <xf numFmtId="43" fontId="1" fillId="2" borderId="8" xfId="2" applyFont="1" applyFill="1" applyBorder="1" applyAlignment="1" applyProtection="1">
      <alignment horizontal="left" vertical="center"/>
    </xf>
    <xf numFmtId="43" fontId="0" fillId="17" borderId="108" xfId="2" applyFont="1" applyFill="1" applyBorder="1" applyAlignment="1" applyProtection="1">
      <alignment vertical="center"/>
    </xf>
    <xf numFmtId="43" fontId="0" fillId="4" borderId="10" xfId="2" applyFont="1" applyFill="1" applyBorder="1" applyAlignment="1" applyProtection="1">
      <alignment vertical="center"/>
    </xf>
    <xf numFmtId="43" fontId="10" fillId="17" borderId="161" xfId="2" applyFont="1" applyFill="1" applyBorder="1" applyAlignment="1" applyProtection="1">
      <alignment vertical="center"/>
    </xf>
    <xf numFmtId="43" fontId="1" fillId="2" borderId="0" xfId="2" applyFont="1" applyFill="1" applyBorder="1" applyAlignment="1" applyProtection="1">
      <alignment vertical="center"/>
    </xf>
    <xf numFmtId="43" fontId="0" fillId="5" borderId="2" xfId="2" applyFont="1" applyFill="1" applyBorder="1" applyAlignment="1" applyProtection="1">
      <alignment vertical="center"/>
    </xf>
    <xf numFmtId="43" fontId="0" fillId="5" borderId="129" xfId="2" applyFont="1" applyFill="1" applyBorder="1" applyAlignment="1" applyProtection="1">
      <alignment vertical="center"/>
    </xf>
    <xf numFmtId="43" fontId="1" fillId="2" borderId="0" xfId="2" applyFont="1" applyFill="1" applyBorder="1" applyAlignment="1" applyProtection="1">
      <alignment horizontal="center" vertical="center"/>
    </xf>
    <xf numFmtId="9" fontId="0" fillId="5" borderId="6" xfId="1" applyFont="1" applyFill="1" applyBorder="1" applyAlignment="1" applyProtection="1">
      <alignment vertical="center"/>
    </xf>
    <xf numFmtId="43" fontId="2" fillId="7" borderId="128" xfId="2" applyFont="1" applyFill="1" applyBorder="1" applyAlignment="1" applyProtection="1">
      <alignment vertical="center"/>
    </xf>
    <xf numFmtId="9" fontId="0" fillId="5" borderId="0" xfId="1" applyFont="1" applyFill="1" applyBorder="1" applyAlignment="1" applyProtection="1">
      <alignment vertical="center"/>
    </xf>
    <xf numFmtId="43" fontId="11" fillId="0" borderId="11" xfId="2" applyFont="1" applyFill="1" applyBorder="1" applyAlignment="1" applyProtection="1">
      <alignment horizontal="right" vertical="center"/>
    </xf>
    <xf numFmtId="43" fontId="12" fillId="0" borderId="0" xfId="2" applyFont="1" applyFill="1" applyBorder="1" applyAlignment="1" applyProtection="1">
      <alignment horizontal="left" vertical="center"/>
    </xf>
    <xf numFmtId="43" fontId="12" fillId="0" borderId="0" xfId="2" applyFont="1" applyFill="1" applyBorder="1" applyAlignment="1" applyProtection="1">
      <alignment horizontal="center" vertical="center"/>
    </xf>
    <xf numFmtId="43" fontId="1" fillId="0" borderId="0" xfId="2" applyFont="1" applyFill="1" applyBorder="1" applyAlignment="1" applyProtection="1">
      <alignment vertical="center"/>
    </xf>
    <xf numFmtId="43" fontId="45" fillId="3" borderId="5" xfId="2" applyFont="1" applyFill="1" applyBorder="1" applyAlignment="1" applyProtection="1">
      <alignment vertical="center"/>
    </xf>
    <xf numFmtId="0" fontId="0" fillId="3" borderId="6" xfId="0" applyFill="1" applyBorder="1"/>
    <xf numFmtId="0" fontId="0" fillId="3" borderId="7" xfId="0" applyFill="1" applyBorder="1"/>
    <xf numFmtId="43" fontId="18" fillId="5" borderId="0" xfId="2" applyFont="1" applyFill="1" applyBorder="1" applyAlignment="1" applyProtection="1">
      <alignment vertical="center"/>
    </xf>
    <xf numFmtId="0" fontId="0" fillId="5" borderId="12" xfId="0" applyFill="1" applyBorder="1"/>
    <xf numFmtId="43" fontId="0" fillId="5" borderId="12" xfId="2" applyFont="1" applyFill="1" applyBorder="1" applyAlignment="1" applyProtection="1">
      <alignment horizontal="left" vertical="center"/>
    </xf>
    <xf numFmtId="43" fontId="20" fillId="12" borderId="12" xfId="2" applyFont="1" applyFill="1" applyBorder="1" applyAlignment="1" applyProtection="1">
      <alignment vertical="center"/>
    </xf>
    <xf numFmtId="43" fontId="0" fillId="13" borderId="5" xfId="2" applyFont="1" applyFill="1" applyBorder="1" applyAlignment="1" applyProtection="1">
      <alignment vertical="center"/>
    </xf>
    <xf numFmtId="43" fontId="0" fillId="13" borderId="0" xfId="0" applyNumberFormat="1" applyFill="1"/>
    <xf numFmtId="43" fontId="0" fillId="13" borderId="7" xfId="0" applyNumberFormat="1" applyFill="1" applyBorder="1"/>
    <xf numFmtId="43" fontId="0" fillId="0" borderId="5" xfId="0" applyNumberFormat="1" applyBorder="1"/>
    <xf numFmtId="43" fontId="0" fillId="0" borderId="6" xfId="0" applyNumberFormat="1" applyBorder="1"/>
    <xf numFmtId="43" fontId="0" fillId="0" borderId="7" xfId="0" applyNumberFormat="1" applyBorder="1"/>
    <xf numFmtId="43" fontId="0" fillId="13" borderId="8" xfId="2" applyFont="1" applyFill="1" applyBorder="1" applyAlignment="1" applyProtection="1">
      <alignment vertical="center"/>
    </xf>
    <xf numFmtId="43" fontId="0" fillId="13" borderId="9" xfId="2" applyFont="1" applyFill="1" applyBorder="1" applyAlignment="1" applyProtection="1">
      <alignment vertical="center"/>
    </xf>
    <xf numFmtId="43" fontId="0" fillId="0" borderId="9" xfId="0" applyNumberFormat="1" applyBorder="1"/>
    <xf numFmtId="43" fontId="0" fillId="0" borderId="11" xfId="0" applyNumberFormat="1" applyBorder="1"/>
    <xf numFmtId="43" fontId="0" fillId="0" borderId="12" xfId="0" applyNumberFormat="1" applyBorder="1"/>
    <xf numFmtId="43" fontId="0" fillId="0" borderId="13" xfId="0" applyNumberFormat="1" applyBorder="1"/>
    <xf numFmtId="43" fontId="6" fillId="13" borderId="11" xfId="2" applyFont="1" applyFill="1" applyBorder="1" applyAlignment="1" applyProtection="1">
      <alignment vertical="center"/>
    </xf>
    <xf numFmtId="43" fontId="0" fillId="13" borderId="12" xfId="2" applyFont="1" applyFill="1" applyBorder="1" applyAlignment="1" applyProtection="1">
      <alignment vertical="center"/>
    </xf>
    <xf numFmtId="43" fontId="0" fillId="13" borderId="13" xfId="2" applyFont="1" applyFill="1" applyBorder="1" applyAlignment="1" applyProtection="1">
      <alignment vertical="center"/>
    </xf>
    <xf numFmtId="43" fontId="0" fillId="13" borderId="6" xfId="2" applyFont="1" applyFill="1" applyBorder="1" applyAlignment="1" applyProtection="1">
      <alignment vertical="center"/>
    </xf>
    <xf numFmtId="43" fontId="0" fillId="13" borderId="7" xfId="2" applyFont="1" applyFill="1" applyBorder="1" applyAlignment="1" applyProtection="1">
      <alignment vertical="center"/>
    </xf>
    <xf numFmtId="43" fontId="1" fillId="2" borderId="85" xfId="2" applyFont="1" applyFill="1" applyBorder="1" applyAlignment="1" applyProtection="1">
      <alignment vertical="center"/>
    </xf>
    <xf numFmtId="43" fontId="0" fillId="4" borderId="12" xfId="2" applyFont="1" applyFill="1" applyBorder="1" applyAlignment="1" applyProtection="1">
      <alignment vertical="center"/>
    </xf>
    <xf numFmtId="0" fontId="6" fillId="13" borderId="11" xfId="0" applyFont="1" applyFill="1" applyBorder="1"/>
    <xf numFmtId="43" fontId="0" fillId="13" borderId="12" xfId="0" applyNumberFormat="1" applyFill="1" applyBorder="1"/>
    <xf numFmtId="43" fontId="0" fillId="13" borderId="13" xfId="0" applyNumberFormat="1" applyFill="1" applyBorder="1"/>
    <xf numFmtId="43" fontId="0" fillId="0" borderId="12" xfId="2" applyFont="1" applyFill="1" applyBorder="1" applyAlignment="1" applyProtection="1">
      <alignment horizontal="center" vertical="center"/>
    </xf>
    <xf numFmtId="43" fontId="0" fillId="5" borderId="118" xfId="2" applyFont="1" applyFill="1" applyBorder="1" applyAlignment="1" applyProtection="1">
      <alignment vertical="center"/>
    </xf>
    <xf numFmtId="43" fontId="0" fillId="4" borderId="92" xfId="2" applyFont="1" applyFill="1" applyBorder="1" applyAlignment="1" applyProtection="1">
      <alignment vertical="center"/>
    </xf>
    <xf numFmtId="43" fontId="0" fillId="4" borderId="87" xfId="2" applyFont="1" applyFill="1" applyBorder="1" applyAlignment="1" applyProtection="1">
      <alignment vertical="center"/>
    </xf>
    <xf numFmtId="43" fontId="2" fillId="0" borderId="5" xfId="2" applyFont="1" applyBorder="1" applyAlignment="1" applyProtection="1">
      <alignment vertical="center" wrapText="1"/>
    </xf>
    <xf numFmtId="43" fontId="11" fillId="0" borderId="6" xfId="2" applyFont="1" applyFill="1" applyBorder="1" applyAlignment="1" applyProtection="1">
      <alignment vertical="center"/>
    </xf>
    <xf numFmtId="43" fontId="11" fillId="0" borderId="7" xfId="2" applyFont="1" applyFill="1" applyBorder="1" applyAlignment="1" applyProtection="1">
      <alignment vertical="center"/>
    </xf>
    <xf numFmtId="43" fontId="2" fillId="0" borderId="11" xfId="2" applyFont="1" applyBorder="1" applyAlignment="1" applyProtection="1">
      <alignment vertical="center" wrapText="1"/>
    </xf>
    <xf numFmtId="0" fontId="6" fillId="0" borderId="6" xfId="0" applyFont="1" applyBorder="1"/>
    <xf numFmtId="0" fontId="0" fillId="9" borderId="122" xfId="0" applyFill="1" applyBorder="1" applyProtection="1">
      <protection locked="0"/>
    </xf>
    <xf numFmtId="43" fontId="18" fillId="9" borderId="84" xfId="2" applyFont="1" applyFill="1" applyBorder="1" applyAlignment="1" applyProtection="1">
      <alignment vertical="center"/>
      <protection locked="0"/>
    </xf>
    <xf numFmtId="43" fontId="18" fillId="9" borderId="247" xfId="2" applyFont="1" applyFill="1" applyBorder="1" applyAlignment="1" applyProtection="1">
      <alignment vertical="center"/>
      <protection locked="0"/>
    </xf>
    <xf numFmtId="0" fontId="0" fillId="9" borderId="238" xfId="0" applyFill="1" applyBorder="1" applyProtection="1">
      <protection locked="0"/>
    </xf>
    <xf numFmtId="43" fontId="0" fillId="9" borderId="246" xfId="2" applyFont="1" applyFill="1" applyBorder="1" applyAlignment="1" applyProtection="1">
      <alignment vertical="center"/>
      <protection locked="0"/>
    </xf>
    <xf numFmtId="43" fontId="18" fillId="9" borderId="246" xfId="2" applyFont="1" applyFill="1" applyBorder="1" applyAlignment="1" applyProtection="1">
      <alignment vertical="center"/>
      <protection locked="0"/>
    </xf>
    <xf numFmtId="43" fontId="18" fillId="9" borderId="82" xfId="2" applyFont="1" applyFill="1" applyBorder="1" applyAlignment="1" applyProtection="1">
      <alignment vertical="center"/>
      <protection locked="0"/>
    </xf>
    <xf numFmtId="43" fontId="18" fillId="9" borderId="181" xfId="2" applyFont="1" applyFill="1" applyBorder="1" applyAlignment="1" applyProtection="1">
      <alignment vertical="center"/>
      <protection locked="0"/>
    </xf>
    <xf numFmtId="0" fontId="0" fillId="9" borderId="123" xfId="0" applyFill="1" applyBorder="1" applyProtection="1">
      <protection locked="0"/>
    </xf>
    <xf numFmtId="43" fontId="18" fillId="9" borderId="248" xfId="2" applyFont="1" applyFill="1" applyBorder="1" applyAlignment="1" applyProtection="1">
      <alignment vertical="center"/>
      <protection locked="0"/>
    </xf>
    <xf numFmtId="0" fontId="0" fillId="9" borderId="180" xfId="0" applyFill="1" applyBorder="1" applyProtection="1">
      <protection locked="0"/>
    </xf>
    <xf numFmtId="43" fontId="0" fillId="9" borderId="124" xfId="2" applyFont="1" applyFill="1" applyBorder="1" applyAlignment="1" applyProtection="1">
      <alignment horizontal="left" vertical="center"/>
      <protection locked="0"/>
    </xf>
    <xf numFmtId="43" fontId="18" fillId="9" borderId="124" xfId="2" applyFont="1" applyFill="1" applyBorder="1" applyAlignment="1" applyProtection="1">
      <alignment vertical="center"/>
      <protection locked="0"/>
    </xf>
    <xf numFmtId="43" fontId="18" fillId="9" borderId="13" xfId="2" applyFont="1" applyFill="1" applyBorder="1" applyAlignment="1" applyProtection="1">
      <alignment vertical="center"/>
      <protection locked="0"/>
    </xf>
    <xf numFmtId="43" fontId="2" fillId="9" borderId="101" xfId="2" applyFont="1" applyFill="1" applyBorder="1" applyAlignment="1" applyProtection="1">
      <alignment vertical="center"/>
      <protection locked="0"/>
    </xf>
    <xf numFmtId="43" fontId="2" fillId="9" borderId="249" xfId="2" applyFont="1" applyFill="1" applyBorder="1" applyAlignment="1" applyProtection="1">
      <alignment vertical="center"/>
      <protection locked="0"/>
    </xf>
    <xf numFmtId="43" fontId="2" fillId="9" borderId="13" xfId="2" applyFont="1" applyFill="1" applyBorder="1" applyAlignment="1" applyProtection="1">
      <alignment vertical="center"/>
      <protection locked="0"/>
    </xf>
    <xf numFmtId="0" fontId="0" fillId="9" borderId="84" xfId="0" applyFill="1" applyBorder="1" applyProtection="1">
      <protection locked="0"/>
    </xf>
    <xf numFmtId="0" fontId="0" fillId="9" borderId="82" xfId="0" applyFill="1" applyBorder="1" applyProtection="1">
      <protection locked="0"/>
    </xf>
    <xf numFmtId="0" fontId="0" fillId="9" borderId="246" xfId="0" applyFill="1" applyBorder="1" applyProtection="1">
      <protection locked="0"/>
    </xf>
    <xf numFmtId="0" fontId="0" fillId="9" borderId="124" xfId="0" applyFill="1" applyBorder="1" applyProtection="1">
      <protection locked="0"/>
    </xf>
    <xf numFmtId="43" fontId="2" fillId="9" borderId="84" xfId="2" applyFont="1" applyFill="1" applyBorder="1" applyAlignment="1" applyProtection="1">
      <alignment vertical="center"/>
      <protection locked="0"/>
    </xf>
    <xf numFmtId="0" fontId="0" fillId="9" borderId="194" xfId="0" applyFill="1" applyBorder="1" applyProtection="1">
      <protection locked="0"/>
    </xf>
    <xf numFmtId="0" fontId="0" fillId="9" borderId="101" xfId="0" applyFill="1" applyBorder="1" applyProtection="1">
      <protection locked="0"/>
    </xf>
    <xf numFmtId="43" fontId="2" fillId="9" borderId="246" xfId="2" applyFont="1" applyFill="1" applyBorder="1" applyAlignment="1" applyProtection="1">
      <alignment vertical="center"/>
      <protection locked="0"/>
    </xf>
    <xf numFmtId="0" fontId="0" fillId="9" borderId="145" xfId="0" applyFill="1" applyBorder="1" applyProtection="1">
      <protection locked="0"/>
    </xf>
    <xf numFmtId="0" fontId="0" fillId="9" borderId="127" xfId="0" applyFill="1" applyBorder="1" applyProtection="1">
      <protection locked="0"/>
    </xf>
    <xf numFmtId="0" fontId="0" fillId="9" borderId="144" xfId="0" applyFill="1" applyBorder="1" applyProtection="1">
      <protection locked="0"/>
    </xf>
    <xf numFmtId="0" fontId="0" fillId="9" borderId="249" xfId="0" applyFill="1" applyBorder="1" applyProtection="1">
      <protection locked="0"/>
    </xf>
    <xf numFmtId="43" fontId="2" fillId="9" borderId="124" xfId="2" applyFont="1" applyFill="1" applyBorder="1" applyAlignment="1" applyProtection="1">
      <alignment vertical="center"/>
      <protection locked="0"/>
    </xf>
    <xf numFmtId="0" fontId="0" fillId="9" borderId="250" xfId="0" applyFill="1" applyBorder="1" applyProtection="1">
      <protection locked="0"/>
    </xf>
    <xf numFmtId="0" fontId="0" fillId="9" borderId="240" xfId="0" applyFill="1" applyBorder="1" applyProtection="1">
      <protection locked="0"/>
    </xf>
    <xf numFmtId="43" fontId="0" fillId="9" borderId="122" xfId="2" applyFont="1" applyFill="1" applyBorder="1" applyAlignment="1" applyProtection="1">
      <alignment vertical="center"/>
      <protection locked="0"/>
    </xf>
    <xf numFmtId="43" fontId="0" fillId="9" borderId="107" xfId="2" applyFont="1" applyFill="1" applyBorder="1" applyAlignment="1" applyProtection="1">
      <alignment vertical="center"/>
      <protection locked="0"/>
    </xf>
    <xf numFmtId="0" fontId="0" fillId="9" borderId="83" xfId="0" applyFill="1" applyBorder="1" applyProtection="1">
      <protection locked="0"/>
    </xf>
    <xf numFmtId="43" fontId="2" fillId="9" borderId="240" xfId="2" applyFont="1" applyFill="1" applyBorder="1" applyAlignment="1" applyProtection="1">
      <alignment vertical="center"/>
      <protection locked="0"/>
    </xf>
    <xf numFmtId="0" fontId="0" fillId="9" borderId="107" xfId="0" applyFill="1" applyBorder="1" applyProtection="1">
      <protection locked="0"/>
    </xf>
    <xf numFmtId="0" fontId="0" fillId="9" borderId="13" xfId="0" applyFill="1" applyBorder="1" applyProtection="1">
      <protection locked="0"/>
    </xf>
    <xf numFmtId="0" fontId="0" fillId="9" borderId="247" xfId="0" applyFill="1" applyBorder="1" applyProtection="1">
      <protection locked="0"/>
    </xf>
    <xf numFmtId="0" fontId="0" fillId="9" borderId="248" xfId="0" applyFill="1" applyBorder="1" applyProtection="1">
      <protection locked="0"/>
    </xf>
    <xf numFmtId="0" fontId="0" fillId="9" borderId="268" xfId="0" applyFill="1" applyBorder="1" applyProtection="1">
      <protection locked="0"/>
    </xf>
    <xf numFmtId="0" fontId="0" fillId="9" borderId="269" xfId="0" applyFill="1" applyBorder="1" applyProtection="1">
      <protection locked="0"/>
    </xf>
    <xf numFmtId="0" fontId="0" fillId="9" borderId="106" xfId="0" applyFill="1" applyBorder="1" applyProtection="1">
      <protection locked="0"/>
    </xf>
    <xf numFmtId="0" fontId="0" fillId="9" borderId="93" xfId="0" applyFill="1" applyBorder="1" applyProtection="1">
      <protection locked="0"/>
    </xf>
    <xf numFmtId="0" fontId="0" fillId="9" borderId="110" xfId="0" applyFill="1" applyBorder="1" applyProtection="1">
      <protection locked="0"/>
    </xf>
    <xf numFmtId="0" fontId="0" fillId="9" borderId="230" xfId="0" applyFill="1" applyBorder="1" applyProtection="1">
      <protection locked="0"/>
    </xf>
    <xf numFmtId="0" fontId="0" fillId="9" borderId="165" xfId="0" applyFill="1" applyBorder="1" applyProtection="1">
      <protection locked="0"/>
    </xf>
    <xf numFmtId="43" fontId="2" fillId="6" borderId="0" xfId="2" applyFont="1" applyFill="1" applyAlignment="1" applyProtection="1">
      <alignment vertical="center"/>
    </xf>
    <xf numFmtId="43" fontId="0" fillId="4" borderId="88" xfId="2" applyFont="1" applyFill="1" applyBorder="1" applyAlignment="1" applyProtection="1">
      <alignment vertical="center"/>
    </xf>
    <xf numFmtId="43" fontId="0" fillId="4" borderId="89" xfId="2" applyFont="1" applyFill="1" applyBorder="1" applyAlignment="1" applyProtection="1">
      <alignment vertical="center"/>
    </xf>
    <xf numFmtId="43" fontId="0" fillId="4" borderId="90" xfId="2" applyFont="1" applyFill="1" applyBorder="1" applyAlignment="1" applyProtection="1">
      <alignment vertical="center"/>
    </xf>
    <xf numFmtId="43" fontId="0" fillId="5" borderId="266" xfId="2" applyFont="1" applyFill="1" applyBorder="1" applyAlignment="1" applyProtection="1">
      <alignment vertical="center"/>
    </xf>
    <xf numFmtId="43" fontId="32" fillId="5" borderId="8" xfId="2" applyFont="1" applyFill="1" applyBorder="1" applyAlignment="1" applyProtection="1">
      <alignment vertical="center"/>
    </xf>
    <xf numFmtId="43" fontId="17" fillId="3" borderId="0" xfId="2" applyFont="1" applyFill="1" applyBorder="1" applyAlignment="1" applyProtection="1">
      <alignment vertical="center"/>
    </xf>
    <xf numFmtId="165" fontId="2" fillId="0" borderId="111" xfId="2" applyNumberFormat="1" applyFont="1" applyBorder="1" applyAlignment="1" applyProtection="1">
      <alignment vertical="center"/>
    </xf>
    <xf numFmtId="165" fontId="2" fillId="0" borderId="93" xfId="2" applyNumberFormat="1" applyFont="1" applyBorder="1" applyAlignment="1" applyProtection="1">
      <alignment vertical="center"/>
    </xf>
    <xf numFmtId="43" fontId="0" fillId="0" borderId="12" xfId="2" applyFont="1" applyBorder="1" applyAlignment="1" applyProtection="1">
      <alignment vertical="center"/>
    </xf>
    <xf numFmtId="43" fontId="1" fillId="3" borderId="5" xfId="2" applyFont="1" applyFill="1" applyBorder="1" applyAlignment="1" applyProtection="1">
      <alignment vertical="center"/>
    </xf>
    <xf numFmtId="43" fontId="1" fillId="3" borderId="7" xfId="2" applyFont="1" applyFill="1" applyBorder="1" applyAlignment="1" applyProtection="1">
      <alignment vertical="center"/>
    </xf>
    <xf numFmtId="43" fontId="1" fillId="2" borderId="5" xfId="2" applyFont="1" applyFill="1" applyBorder="1" applyAlignment="1" applyProtection="1">
      <alignment horizontal="left" vertical="center"/>
    </xf>
    <xf numFmtId="43" fontId="11" fillId="0" borderId="111" xfId="2" applyFont="1" applyFill="1" applyBorder="1" applyAlignment="1" applyProtection="1">
      <alignment horizontal="left" vertical="center"/>
    </xf>
    <xf numFmtId="43" fontId="11" fillId="0" borderId="93" xfId="2" applyFont="1" applyFill="1" applyBorder="1" applyAlignment="1" applyProtection="1">
      <alignment horizontal="center" vertical="center"/>
    </xf>
    <xf numFmtId="10" fontId="2" fillId="0" borderId="93" xfId="2" applyNumberFormat="1" applyFont="1" applyBorder="1" applyAlignment="1" applyProtection="1">
      <alignment vertical="center"/>
    </xf>
    <xf numFmtId="43" fontId="11" fillId="0" borderId="165" xfId="2" applyFont="1" applyBorder="1" applyAlignment="1" applyProtection="1">
      <alignment vertical="center"/>
    </xf>
    <xf numFmtId="43" fontId="0" fillId="0" borderId="0" xfId="2" applyFont="1" applyProtection="1"/>
    <xf numFmtId="43" fontId="11" fillId="0" borderId="0" xfId="2" applyFont="1" applyFill="1" applyBorder="1" applyAlignment="1" applyProtection="1">
      <alignment vertical="center" wrapText="1"/>
    </xf>
    <xf numFmtId="43" fontId="19" fillId="3" borderId="5" xfId="2" applyFont="1" applyFill="1" applyBorder="1" applyAlignment="1" applyProtection="1">
      <alignment vertical="center"/>
    </xf>
    <xf numFmtId="43" fontId="1" fillId="0" borderId="9" xfId="2" applyFont="1" applyFill="1" applyBorder="1" applyAlignment="1" applyProtection="1">
      <alignment vertical="center"/>
    </xf>
    <xf numFmtId="43" fontId="0" fillId="0" borderId="111" xfId="0" applyNumberFormat="1" applyBorder="1"/>
    <xf numFmtId="43" fontId="0" fillId="17" borderId="75" xfId="2" applyFont="1" applyFill="1" applyBorder="1" applyAlignment="1" applyProtection="1">
      <alignment vertical="center"/>
    </xf>
    <xf numFmtId="43" fontId="12" fillId="5" borderId="0" xfId="2" applyFont="1" applyFill="1" applyAlignment="1" applyProtection="1">
      <alignment horizontal="center" vertical="center" wrapText="1"/>
    </xf>
    <xf numFmtId="43" fontId="2" fillId="0" borderId="111" xfId="2" applyFont="1" applyBorder="1" applyAlignment="1" applyProtection="1">
      <alignment vertical="center" wrapText="1"/>
    </xf>
    <xf numFmtId="43" fontId="11" fillId="0" borderId="165" xfId="2" applyFont="1" applyFill="1" applyBorder="1" applyAlignment="1" applyProtection="1">
      <alignment vertical="center"/>
    </xf>
    <xf numFmtId="43" fontId="0" fillId="0" borderId="12" xfId="2" applyFont="1" applyFill="1" applyBorder="1" applyAlignment="1" applyProtection="1">
      <alignment vertical="center"/>
    </xf>
    <xf numFmtId="43" fontId="0" fillId="0" borderId="0" xfId="2" applyFont="1" applyFill="1" applyBorder="1" applyAlignment="1" applyProtection="1">
      <alignment horizontal="right" vertical="center"/>
    </xf>
    <xf numFmtId="0" fontId="18" fillId="0" borderId="0" xfId="3" applyFill="1" applyBorder="1" applyProtection="1"/>
    <xf numFmtId="43" fontId="2" fillId="0" borderId="8" xfId="2" applyFont="1" applyFill="1" applyBorder="1" applyAlignment="1" applyProtection="1">
      <alignment vertical="center" wrapText="1"/>
    </xf>
    <xf numFmtId="43" fontId="5" fillId="12" borderId="0" xfId="2" applyFont="1" applyFill="1" applyBorder="1" applyAlignment="1" applyProtection="1">
      <alignment horizontal="center" vertical="center"/>
    </xf>
    <xf numFmtId="43" fontId="2" fillId="5" borderId="2" xfId="2" applyFont="1" applyFill="1" applyBorder="1" applyAlignment="1" applyProtection="1">
      <alignment vertical="center"/>
    </xf>
    <xf numFmtId="43" fontId="11" fillId="0" borderId="165" xfId="2" applyFont="1" applyFill="1" applyBorder="1" applyAlignment="1" applyProtection="1">
      <alignment horizontal="right" vertical="center"/>
    </xf>
    <xf numFmtId="43" fontId="1" fillId="3" borderId="243" xfId="2" applyFont="1" applyFill="1" applyBorder="1" applyAlignment="1" applyProtection="1">
      <alignment vertical="center"/>
    </xf>
    <xf numFmtId="43" fontId="1" fillId="3" borderId="244" xfId="2" applyFont="1" applyFill="1" applyBorder="1" applyAlignment="1" applyProtection="1">
      <alignment vertical="center"/>
    </xf>
    <xf numFmtId="43" fontId="2" fillId="3" borderId="155" xfId="2" applyFont="1" applyFill="1" applyBorder="1" applyAlignment="1" applyProtection="1">
      <alignment vertical="center"/>
    </xf>
    <xf numFmtId="43" fontId="2" fillId="7" borderId="103" xfId="2" applyFont="1" applyFill="1" applyBorder="1" applyAlignment="1" applyProtection="1">
      <alignment vertical="center"/>
    </xf>
    <xf numFmtId="43" fontId="0" fillId="0" borderId="102" xfId="2" applyFont="1" applyFill="1" applyBorder="1" applyAlignment="1" applyProtection="1">
      <alignment horizontal="right" vertical="center"/>
    </xf>
    <xf numFmtId="43" fontId="11" fillId="0" borderId="5" xfId="2" applyFont="1" applyFill="1" applyBorder="1" applyAlignment="1" applyProtection="1">
      <alignment horizontal="right" vertical="center"/>
    </xf>
    <xf numFmtId="43" fontId="11" fillId="0" borderId="6" xfId="2" applyFont="1" applyFill="1" applyBorder="1" applyAlignment="1" applyProtection="1">
      <alignment horizontal="right" vertical="center"/>
    </xf>
    <xf numFmtId="43" fontId="11" fillId="0" borderId="12" xfId="2" applyFont="1" applyFill="1" applyBorder="1" applyAlignment="1" applyProtection="1">
      <alignment horizontal="right" vertical="center"/>
    </xf>
    <xf numFmtId="43" fontId="2" fillId="18" borderId="99" xfId="2" applyFont="1" applyFill="1" applyBorder="1" applyAlignment="1" applyProtection="1">
      <alignment vertical="center"/>
      <protection locked="0"/>
    </xf>
    <xf numFmtId="0" fontId="0" fillId="0" borderId="5"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Protection="1">
      <protection hidden="1"/>
    </xf>
    <xf numFmtId="0" fontId="0" fillId="3" borderId="0" xfId="0" applyFill="1" applyProtection="1">
      <protection hidden="1"/>
    </xf>
    <xf numFmtId="0" fontId="8" fillId="3" borderId="0" xfId="0" applyFont="1" applyFill="1" applyProtection="1">
      <protection hidden="1"/>
    </xf>
    <xf numFmtId="0" fontId="0" fillId="0" borderId="138" xfId="0" applyBorder="1" applyProtection="1">
      <protection hidden="1"/>
    </xf>
    <xf numFmtId="0" fontId="0" fillId="0" borderId="205" xfId="0" applyBorder="1" applyProtection="1">
      <protection hidden="1"/>
    </xf>
    <xf numFmtId="0" fontId="0" fillId="9" borderId="205" xfId="0" applyFill="1" applyBorder="1" applyProtection="1">
      <protection hidden="1"/>
    </xf>
    <xf numFmtId="0" fontId="0" fillId="0" borderId="99" xfId="0" applyBorder="1" applyProtection="1">
      <protection hidden="1"/>
    </xf>
    <xf numFmtId="0" fontId="0" fillId="18" borderId="99" xfId="0" applyFill="1" applyBorder="1" applyProtection="1">
      <protection hidden="1"/>
    </xf>
    <xf numFmtId="0" fontId="0" fillId="0" borderId="11" xfId="0" applyBorder="1" applyProtection="1">
      <protection hidden="1"/>
    </xf>
    <xf numFmtId="43" fontId="0" fillId="18" borderId="35" xfId="2" applyFont="1" applyFill="1" applyBorder="1" applyAlignment="1" applyProtection="1">
      <alignment vertical="top"/>
      <protection locked="0"/>
    </xf>
    <xf numFmtId="43" fontId="0" fillId="18" borderId="39" xfId="2" applyFont="1" applyFill="1" applyBorder="1" applyAlignment="1" applyProtection="1">
      <alignment vertical="top" wrapText="1"/>
      <protection locked="0"/>
    </xf>
    <xf numFmtId="43" fontId="0" fillId="18" borderId="140" xfId="2" applyFont="1" applyFill="1" applyBorder="1" applyAlignment="1" applyProtection="1">
      <alignment vertical="top"/>
      <protection locked="0"/>
    </xf>
    <xf numFmtId="43" fontId="0" fillId="18" borderId="178" xfId="2" applyFont="1" applyFill="1" applyBorder="1" applyAlignment="1" applyProtection="1">
      <alignment vertical="top" wrapText="1"/>
      <protection locked="0"/>
    </xf>
    <xf numFmtId="43" fontId="0" fillId="18" borderId="43" xfId="2" applyFont="1" applyFill="1" applyBorder="1" applyAlignment="1" applyProtection="1">
      <alignment vertical="top"/>
      <protection locked="0"/>
    </xf>
    <xf numFmtId="43" fontId="0" fillId="18" borderId="44" xfId="2" applyFont="1" applyFill="1" applyBorder="1" applyAlignment="1" applyProtection="1">
      <alignment vertical="top" wrapText="1"/>
      <protection locked="0"/>
    </xf>
    <xf numFmtId="43" fontId="0" fillId="18" borderId="26" xfId="2" applyFont="1" applyFill="1" applyBorder="1" applyAlignment="1" applyProtection="1">
      <alignment vertical="top"/>
      <protection locked="0"/>
    </xf>
    <xf numFmtId="43" fontId="0" fillId="18" borderId="29" xfId="2" applyFont="1" applyFill="1" applyBorder="1" applyAlignment="1" applyProtection="1">
      <alignment vertical="top" wrapText="1"/>
      <protection locked="0"/>
    </xf>
    <xf numFmtId="43" fontId="0" fillId="18" borderId="133" xfId="2" applyFont="1" applyFill="1" applyBorder="1" applyAlignment="1" applyProtection="1">
      <alignment vertical="top"/>
      <protection locked="0"/>
    </xf>
    <xf numFmtId="43" fontId="0" fillId="18" borderId="134" xfId="2" applyFont="1" applyFill="1" applyBorder="1" applyAlignment="1" applyProtection="1">
      <alignment vertical="top" wrapText="1"/>
      <protection locked="0"/>
    </xf>
    <xf numFmtId="0" fontId="47" fillId="0" borderId="0" xfId="0" applyFont="1" applyAlignment="1">
      <alignment vertical="center" wrapText="1"/>
    </xf>
    <xf numFmtId="0" fontId="47" fillId="0" borderId="0" xfId="0" applyFont="1" applyAlignment="1">
      <alignment wrapText="1"/>
    </xf>
    <xf numFmtId="0" fontId="47" fillId="0" borderId="0" xfId="0" applyFont="1" applyAlignment="1">
      <alignment horizontal="left" vertical="center"/>
    </xf>
    <xf numFmtId="0" fontId="47" fillId="0" borderId="0" xfId="0" applyFont="1"/>
    <xf numFmtId="20" fontId="47" fillId="0" borderId="0" xfId="0" applyNumberFormat="1" applyFont="1" applyAlignment="1">
      <alignment vertical="center"/>
    </xf>
    <xf numFmtId="0" fontId="47" fillId="0" borderId="0" xfId="0" applyFont="1" applyAlignment="1">
      <alignment vertical="center"/>
    </xf>
    <xf numFmtId="173" fontId="47" fillId="0" borderId="0" xfId="0" applyNumberFormat="1" applyFont="1" applyAlignment="1">
      <alignment vertical="center"/>
    </xf>
    <xf numFmtId="43" fontId="0" fillId="17" borderId="36" xfId="2" applyFont="1" applyFill="1" applyBorder="1" applyAlignment="1" applyProtection="1">
      <alignment vertical="center"/>
    </xf>
    <xf numFmtId="175" fontId="0" fillId="4" borderId="64" xfId="2" applyNumberFormat="1" applyFont="1" applyFill="1" applyBorder="1" applyAlignment="1" applyProtection="1">
      <alignment horizontal="right" vertical="center"/>
      <protection locked="0"/>
    </xf>
    <xf numFmtId="176" fontId="0" fillId="4" borderId="64" xfId="2" applyNumberFormat="1" applyFont="1" applyFill="1" applyBorder="1" applyAlignment="1" applyProtection="1">
      <alignment horizontal="right" vertical="center"/>
      <protection locked="0"/>
    </xf>
    <xf numFmtId="43" fontId="2" fillId="5" borderId="0" xfId="2" applyFont="1" applyFill="1" applyAlignment="1" applyProtection="1">
      <alignment vertical="center"/>
      <protection hidden="1"/>
    </xf>
    <xf numFmtId="164" fontId="0" fillId="0" borderId="156" xfId="0" applyNumberFormat="1" applyBorder="1"/>
    <xf numFmtId="43" fontId="48" fillId="5" borderId="0" xfId="2" applyFont="1" applyFill="1" applyAlignment="1" applyProtection="1">
      <alignment vertical="center"/>
      <protection hidden="1"/>
    </xf>
    <xf numFmtId="43" fontId="48" fillId="5" borderId="0" xfId="2" applyFont="1" applyFill="1" applyAlignment="1">
      <alignment vertical="center"/>
    </xf>
    <xf numFmtId="43" fontId="0" fillId="17" borderId="281" xfId="2" applyFont="1" applyFill="1" applyBorder="1" applyAlignment="1" applyProtection="1">
      <alignment vertical="center"/>
    </xf>
    <xf numFmtId="43" fontId="0" fillId="9" borderId="282" xfId="2" applyFont="1" applyFill="1" applyBorder="1" applyAlignment="1" applyProtection="1">
      <alignment vertical="center"/>
      <protection locked="0"/>
    </xf>
    <xf numFmtId="43" fontId="0" fillId="17" borderId="283" xfId="2" applyFont="1" applyFill="1" applyBorder="1" applyAlignment="1" applyProtection="1">
      <alignment vertical="center"/>
    </xf>
    <xf numFmtId="43" fontId="0" fillId="9" borderId="284" xfId="2" applyFont="1" applyFill="1" applyBorder="1" applyAlignment="1" applyProtection="1">
      <alignment vertical="center"/>
      <protection locked="0"/>
    </xf>
    <xf numFmtId="43" fontId="0" fillId="17" borderId="285" xfId="2" applyFont="1" applyFill="1" applyBorder="1" applyAlignment="1" applyProtection="1">
      <alignment vertical="center"/>
    </xf>
    <xf numFmtId="43" fontId="0" fillId="9" borderId="286" xfId="2" applyFont="1" applyFill="1" applyBorder="1" applyAlignment="1" applyProtection="1">
      <alignment vertical="center"/>
      <protection locked="0"/>
    </xf>
    <xf numFmtId="43" fontId="0" fillId="9" borderId="287" xfId="2" applyFont="1" applyFill="1" applyBorder="1" applyAlignment="1" applyProtection="1">
      <alignment vertical="center"/>
      <protection locked="0"/>
    </xf>
    <xf numFmtId="43" fontId="0" fillId="17" borderId="288" xfId="2" applyFont="1" applyFill="1" applyBorder="1" applyAlignment="1" applyProtection="1">
      <alignment vertical="center"/>
    </xf>
    <xf numFmtId="0" fontId="9" fillId="2" borderId="2" xfId="0" applyFont="1" applyFill="1" applyBorder="1" applyAlignment="1">
      <alignment horizontal="left" vertical="center" wrapText="1"/>
    </xf>
    <xf numFmtId="0" fontId="1" fillId="3" borderId="0" xfId="0" applyFont="1" applyFill="1"/>
    <xf numFmtId="177" fontId="0" fillId="17" borderId="122" xfId="2" applyNumberFormat="1" applyFont="1" applyFill="1" applyBorder="1" applyAlignment="1" applyProtection="1">
      <alignment horizontal="right" vertical="center"/>
      <protection hidden="1"/>
    </xf>
    <xf numFmtId="177" fontId="0" fillId="17" borderId="151" xfId="2" applyNumberFormat="1" applyFont="1" applyFill="1" applyBorder="1" applyAlignment="1" applyProtection="1">
      <alignment horizontal="right" vertical="center"/>
      <protection hidden="1"/>
    </xf>
    <xf numFmtId="177" fontId="0" fillId="17" borderId="84" xfId="2" applyNumberFormat="1" applyFont="1" applyFill="1" applyBorder="1" applyAlignment="1" applyProtection="1">
      <alignment horizontal="right" vertical="center"/>
      <protection hidden="1"/>
    </xf>
    <xf numFmtId="177" fontId="0" fillId="17" borderId="247" xfId="2" applyNumberFormat="1" applyFont="1" applyFill="1" applyBorder="1" applyAlignment="1" applyProtection="1">
      <alignment horizontal="right" vertical="center"/>
      <protection hidden="1"/>
    </xf>
    <xf numFmtId="177" fontId="0" fillId="17" borderId="238" xfId="2" applyNumberFormat="1" applyFont="1" applyFill="1" applyBorder="1" applyAlignment="1" applyProtection="1">
      <alignment horizontal="right" vertical="center"/>
      <protection hidden="1"/>
    </xf>
    <xf numFmtId="177" fontId="0" fillId="17" borderId="192" xfId="2" applyNumberFormat="1" applyFont="1" applyFill="1" applyBorder="1" applyAlignment="1" applyProtection="1">
      <alignment horizontal="right" vertical="center"/>
      <protection hidden="1"/>
    </xf>
    <xf numFmtId="177" fontId="0" fillId="17" borderId="82" xfId="2" applyNumberFormat="1" applyFont="1" applyFill="1" applyBorder="1" applyAlignment="1" applyProtection="1">
      <alignment horizontal="right" vertical="center"/>
      <protection hidden="1"/>
    </xf>
    <xf numFmtId="177" fontId="0" fillId="17" borderId="181" xfId="2" applyNumberFormat="1" applyFont="1" applyFill="1" applyBorder="1" applyAlignment="1" applyProtection="1">
      <alignment horizontal="right" vertical="center"/>
      <protection hidden="1"/>
    </xf>
    <xf numFmtId="177" fontId="0" fillId="17" borderId="104" xfId="2" applyNumberFormat="1" applyFont="1" applyFill="1" applyBorder="1" applyAlignment="1" applyProtection="1">
      <alignment horizontal="right" vertical="center"/>
      <protection hidden="1"/>
    </xf>
    <xf numFmtId="177" fontId="0" fillId="17" borderId="279" xfId="2" applyNumberFormat="1" applyFont="1" applyFill="1" applyBorder="1" applyAlignment="1" applyProtection="1">
      <alignment horizontal="right" vertical="center"/>
      <protection hidden="1"/>
    </xf>
    <xf numFmtId="177" fontId="0" fillId="17" borderId="280" xfId="2" applyNumberFormat="1" applyFont="1" applyFill="1" applyBorder="1" applyAlignment="1" applyProtection="1">
      <alignment horizontal="right" vertical="center"/>
      <protection hidden="1"/>
    </xf>
    <xf numFmtId="177" fontId="6" fillId="17" borderId="120" xfId="2" applyNumberFormat="1" applyFont="1" applyFill="1" applyBorder="1" applyAlignment="1" applyProtection="1">
      <alignment horizontal="right" vertical="center"/>
      <protection hidden="1"/>
    </xf>
    <xf numFmtId="177" fontId="6" fillId="17" borderId="230" xfId="2" applyNumberFormat="1" applyFont="1" applyFill="1" applyBorder="1" applyAlignment="1" applyProtection="1">
      <alignment horizontal="right" vertical="center"/>
      <protection hidden="1"/>
    </xf>
    <xf numFmtId="177" fontId="6" fillId="17" borderId="165" xfId="2" applyNumberFormat="1" applyFont="1" applyFill="1" applyBorder="1" applyAlignment="1" applyProtection="1">
      <alignment horizontal="right" vertical="center"/>
      <protection hidden="1"/>
    </xf>
    <xf numFmtId="0" fontId="0" fillId="19" borderId="99" xfId="0" applyFill="1" applyBorder="1" applyProtection="1">
      <protection hidden="1"/>
    </xf>
    <xf numFmtId="0" fontId="0" fillId="20" borderId="11" xfId="0" applyFill="1" applyBorder="1" applyProtection="1">
      <protection hidden="1"/>
    </xf>
    <xf numFmtId="43" fontId="18" fillId="18" borderId="290" xfId="2" applyFont="1" applyFill="1" applyBorder="1" applyAlignment="1" applyProtection="1">
      <alignment vertical="center"/>
      <protection locked="0"/>
    </xf>
    <xf numFmtId="43" fontId="18" fillId="18" borderId="289" xfId="2" applyFont="1" applyFill="1" applyBorder="1" applyAlignment="1" applyProtection="1">
      <alignment vertical="center"/>
      <protection locked="0"/>
    </xf>
    <xf numFmtId="43" fontId="18" fillId="18" borderId="290" xfId="2" applyFont="1" applyFill="1" applyBorder="1" applyAlignment="1" applyProtection="1">
      <alignment horizontal="center" vertical="center"/>
      <protection locked="0"/>
    </xf>
    <xf numFmtId="43" fontId="18" fillId="18" borderId="291" xfId="2" applyFont="1" applyFill="1" applyBorder="1" applyAlignment="1" applyProtection="1">
      <alignment horizontal="center" vertical="center"/>
      <protection locked="0"/>
    </xf>
    <xf numFmtId="43" fontId="18" fillId="18" borderId="108" xfId="2" applyFont="1" applyFill="1" applyBorder="1" applyAlignment="1" applyProtection="1">
      <alignment horizontal="center" vertical="center"/>
      <protection locked="0"/>
    </xf>
    <xf numFmtId="43" fontId="18" fillId="18" borderId="134" xfId="2" applyFont="1" applyFill="1" applyBorder="1" applyAlignment="1" applyProtection="1">
      <alignment horizontal="center" vertical="center"/>
      <protection locked="0"/>
    </xf>
    <xf numFmtId="0" fontId="0" fillId="0" borderId="0" xfId="2" applyNumberFormat="1" applyFont="1" applyAlignment="1" applyProtection="1">
      <alignment vertical="center"/>
    </xf>
    <xf numFmtId="2" fontId="37" fillId="16" borderId="0" xfId="1" applyNumberFormat="1" applyFont="1" applyFill="1"/>
    <xf numFmtId="43" fontId="0" fillId="18" borderId="67" xfId="2" applyFont="1" applyFill="1" applyBorder="1" applyAlignment="1" applyProtection="1">
      <alignment horizontal="right" vertical="center"/>
      <protection locked="0"/>
    </xf>
    <xf numFmtId="11" fontId="0" fillId="9" borderId="139" xfId="2" applyNumberFormat="1" applyFont="1" applyFill="1" applyBorder="1" applyAlignment="1" applyProtection="1">
      <alignment vertical="center"/>
      <protection locked="0"/>
    </xf>
    <xf numFmtId="43" fontId="18" fillId="5" borderId="8" xfId="2" applyFont="1" applyFill="1" applyBorder="1" applyAlignment="1" applyProtection="1">
      <alignment vertical="center"/>
    </xf>
    <xf numFmtId="43" fontId="18" fillId="5" borderId="0" xfId="2" applyFont="1" applyFill="1" applyAlignment="1" applyProtection="1">
      <alignment vertical="center"/>
    </xf>
    <xf numFmtId="43" fontId="18" fillId="7" borderId="0" xfId="2" applyFont="1" applyFill="1" applyAlignment="1" applyProtection="1">
      <alignment vertical="center"/>
    </xf>
    <xf numFmtId="0" fontId="18" fillId="5" borderId="32" xfId="0" applyFont="1" applyFill="1" applyBorder="1"/>
    <xf numFmtId="43" fontId="18" fillId="5" borderId="118" xfId="2" applyFont="1" applyFill="1" applyBorder="1" applyAlignment="1" applyProtection="1">
      <alignment vertical="center"/>
    </xf>
    <xf numFmtId="43" fontId="18" fillId="4" borderId="5" xfId="2" applyFont="1" applyFill="1" applyBorder="1" applyAlignment="1" applyProtection="1">
      <alignment vertical="center"/>
    </xf>
    <xf numFmtId="43" fontId="18" fillId="4" borderId="92" xfId="2" applyFont="1" applyFill="1" applyBorder="1" applyAlignment="1" applyProtection="1">
      <alignment vertical="center"/>
    </xf>
    <xf numFmtId="43" fontId="18" fillId="4" borderId="87" xfId="2" applyFont="1" applyFill="1" applyBorder="1" applyAlignment="1" applyProtection="1">
      <alignment vertical="center"/>
    </xf>
    <xf numFmtId="43" fontId="18" fillId="5" borderId="9" xfId="2" applyFont="1" applyFill="1" applyBorder="1" applyAlignment="1" applyProtection="1">
      <alignment vertical="center"/>
    </xf>
    <xf numFmtId="43" fontId="18" fillId="0" borderId="0" xfId="2" applyFont="1" applyAlignment="1" applyProtection="1">
      <alignment vertical="center"/>
    </xf>
    <xf numFmtId="43" fontId="9" fillId="2" borderId="153" xfId="2" applyFont="1" applyFill="1" applyBorder="1" applyAlignment="1" applyProtection="1">
      <alignment horizontal="left" vertical="center"/>
    </xf>
    <xf numFmtId="43" fontId="9" fillId="3" borderId="0" xfId="2" applyFont="1" applyFill="1" applyBorder="1" applyAlignment="1" applyProtection="1">
      <alignment horizontal="left" vertical="center"/>
    </xf>
    <xf numFmtId="43" fontId="9" fillId="3" borderId="0" xfId="2" applyFont="1" applyFill="1" applyBorder="1" applyAlignment="1" applyProtection="1">
      <alignment vertical="center"/>
    </xf>
    <xf numFmtId="43" fontId="18" fillId="0" borderId="0" xfId="2" applyFont="1" applyFill="1" applyBorder="1" applyAlignment="1" applyProtection="1">
      <alignment vertical="center"/>
    </xf>
    <xf numFmtId="43" fontId="18" fillId="0" borderId="0" xfId="2" applyFont="1" applyBorder="1" applyAlignment="1" applyProtection="1">
      <alignment vertical="center"/>
    </xf>
    <xf numFmtId="43" fontId="18" fillId="0" borderId="9" xfId="2" applyFont="1" applyBorder="1" applyAlignment="1" applyProtection="1">
      <alignment vertical="center"/>
    </xf>
    <xf numFmtId="0" fontId="18" fillId="0" borderId="0" xfId="0" applyFont="1"/>
    <xf numFmtId="43" fontId="18" fillId="9" borderId="46" xfId="2" applyFont="1" applyFill="1" applyBorder="1" applyAlignment="1" applyProtection="1">
      <alignment vertical="center"/>
      <protection locked="0"/>
    </xf>
    <xf numFmtId="43" fontId="18" fillId="9" borderId="41" xfId="2" applyFont="1" applyFill="1" applyBorder="1" applyAlignment="1" applyProtection="1">
      <alignment vertical="center" wrapText="1"/>
      <protection locked="0"/>
    </xf>
    <xf numFmtId="43" fontId="18" fillId="9" borderId="59" xfId="2" applyFont="1" applyFill="1" applyBorder="1" applyAlignment="1" applyProtection="1">
      <alignment horizontal="right" vertical="center"/>
      <protection locked="0"/>
    </xf>
    <xf numFmtId="43" fontId="18" fillId="5" borderId="267" xfId="2" applyFont="1" applyFill="1" applyBorder="1" applyAlignment="1" applyProtection="1">
      <alignment vertical="center"/>
    </xf>
    <xf numFmtId="43" fontId="18" fillId="4" borderId="0" xfId="2" applyFont="1" applyFill="1" applyBorder="1" applyAlignment="1" applyProtection="1">
      <alignment vertical="center"/>
    </xf>
    <xf numFmtId="43" fontId="18" fillId="4" borderId="9" xfId="2" applyFont="1" applyFill="1" applyBorder="1" applyAlignment="1" applyProtection="1">
      <alignment vertical="center"/>
    </xf>
    <xf numFmtId="43" fontId="18" fillId="0" borderId="5" xfId="2" applyFont="1" applyBorder="1" applyAlignment="1" applyProtection="1">
      <alignment vertical="center" wrapText="1"/>
    </xf>
    <xf numFmtId="43" fontId="18" fillId="0" borderId="6" xfId="2" applyFont="1" applyBorder="1" applyAlignment="1" applyProtection="1">
      <alignment vertical="center"/>
    </xf>
    <xf numFmtId="43" fontId="10" fillId="0" borderId="6" xfId="2" applyFont="1" applyFill="1" applyBorder="1" applyAlignment="1" applyProtection="1">
      <alignment vertical="center"/>
    </xf>
    <xf numFmtId="43" fontId="10" fillId="0" borderId="7" xfId="2" applyFont="1" applyFill="1" applyBorder="1" applyAlignment="1" applyProtection="1">
      <alignment vertical="center"/>
    </xf>
    <xf numFmtId="43" fontId="18" fillId="9" borderId="43" xfId="2" applyFont="1" applyFill="1" applyBorder="1" applyAlignment="1" applyProtection="1">
      <alignment vertical="center"/>
      <protection locked="0"/>
    </xf>
    <xf numFmtId="43" fontId="18" fillId="9" borderId="44" xfId="2" applyFont="1" applyFill="1" applyBorder="1" applyAlignment="1" applyProtection="1">
      <alignment vertical="center" wrapText="1"/>
      <protection locked="0"/>
    </xf>
    <xf numFmtId="43" fontId="18" fillId="9" borderId="76" xfId="2" applyFont="1" applyFill="1" applyBorder="1" applyAlignment="1" applyProtection="1">
      <alignment horizontal="right" vertical="center"/>
      <protection locked="0"/>
    </xf>
    <xf numFmtId="43" fontId="18" fillId="0" borderId="8" xfId="2" applyFont="1" applyBorder="1" applyAlignment="1" applyProtection="1">
      <alignment vertical="center" wrapText="1"/>
    </xf>
    <xf numFmtId="43" fontId="10" fillId="0" borderId="0" xfId="2" applyFont="1" applyFill="1" applyBorder="1" applyAlignment="1" applyProtection="1">
      <alignment vertical="center"/>
    </xf>
    <xf numFmtId="43" fontId="10" fillId="0" borderId="9" xfId="2" applyFont="1" applyFill="1" applyBorder="1" applyAlignment="1" applyProtection="1">
      <alignment vertical="center"/>
    </xf>
    <xf numFmtId="43" fontId="18" fillId="9" borderId="29" xfId="2" applyFont="1" applyFill="1" applyBorder="1" applyAlignment="1" applyProtection="1">
      <alignment vertical="center" wrapText="1"/>
      <protection locked="0"/>
    </xf>
    <xf numFmtId="43" fontId="18" fillId="9" borderId="79" xfId="2" applyFont="1" applyFill="1" applyBorder="1" applyAlignment="1" applyProtection="1">
      <alignment horizontal="right" vertical="center"/>
      <protection locked="0"/>
    </xf>
    <xf numFmtId="43" fontId="18" fillId="9" borderId="79" xfId="2" applyFont="1" applyFill="1" applyBorder="1" applyAlignment="1" applyProtection="1">
      <alignment vertical="center"/>
      <protection locked="0"/>
    </xf>
    <xf numFmtId="43" fontId="18" fillId="9" borderId="48" xfId="2" applyFont="1" applyFill="1" applyBorder="1" applyAlignment="1" applyProtection="1">
      <alignment vertical="center"/>
      <protection locked="0"/>
    </xf>
    <xf numFmtId="43" fontId="18" fillId="9" borderId="50" xfId="2" applyFont="1" applyFill="1" applyBorder="1" applyAlignment="1" applyProtection="1">
      <alignment vertical="center" wrapText="1"/>
      <protection locked="0"/>
    </xf>
    <xf numFmtId="43" fontId="18" fillId="9" borderId="53" xfId="2" applyFont="1" applyFill="1" applyBorder="1" applyAlignment="1" applyProtection="1">
      <alignment vertical="center"/>
      <protection locked="0"/>
    </xf>
    <xf numFmtId="43" fontId="18" fillId="0" borderId="11" xfId="2" applyFont="1" applyBorder="1" applyAlignment="1" applyProtection="1">
      <alignment vertical="center" wrapText="1"/>
    </xf>
    <xf numFmtId="43" fontId="18" fillId="0" borderId="12" xfId="2" applyFont="1" applyBorder="1" applyAlignment="1" applyProtection="1">
      <alignment vertical="center"/>
    </xf>
    <xf numFmtId="43" fontId="10" fillId="0" borderId="12" xfId="2" applyFont="1" applyFill="1" applyBorder="1" applyAlignment="1" applyProtection="1">
      <alignment vertical="center"/>
    </xf>
    <xf numFmtId="43" fontId="10" fillId="0" borderId="13" xfId="2" applyFont="1" applyFill="1" applyBorder="1" applyAlignment="1" applyProtection="1">
      <alignment vertical="center"/>
    </xf>
    <xf numFmtId="43" fontId="18" fillId="5" borderId="11" xfId="2" applyFont="1" applyFill="1" applyBorder="1" applyAlignment="1" applyProtection="1">
      <alignment vertical="center"/>
    </xf>
    <xf numFmtId="43" fontId="18" fillId="5" borderId="12" xfId="2" applyFont="1" applyFill="1" applyBorder="1" applyAlignment="1" applyProtection="1">
      <alignment vertical="center"/>
    </xf>
    <xf numFmtId="43" fontId="18" fillId="5" borderId="19" xfId="2" applyFont="1" applyFill="1" applyBorder="1" applyAlignment="1" applyProtection="1">
      <alignment vertical="center"/>
    </xf>
    <xf numFmtId="43" fontId="18" fillId="5" borderId="20" xfId="2" applyFont="1" applyFill="1" applyBorder="1" applyAlignment="1" applyProtection="1">
      <alignment vertical="center"/>
    </xf>
    <xf numFmtId="43" fontId="18" fillId="7" borderId="12" xfId="2" applyFont="1" applyFill="1" applyBorder="1" applyAlignment="1" applyProtection="1">
      <alignment vertical="center"/>
    </xf>
    <xf numFmtId="43" fontId="18" fillId="7" borderId="93" xfId="2" applyFont="1" applyFill="1" applyBorder="1" applyAlignment="1" applyProtection="1">
      <alignment vertical="center"/>
    </xf>
    <xf numFmtId="43" fontId="18" fillId="5" borderId="93" xfId="2" applyFont="1" applyFill="1" applyBorder="1" applyAlignment="1" applyProtection="1">
      <alignment vertical="center"/>
    </xf>
    <xf numFmtId="43" fontId="18" fillId="4" borderId="17" xfId="2" applyFont="1" applyFill="1" applyBorder="1" applyAlignment="1" applyProtection="1">
      <alignment vertical="center"/>
    </xf>
    <xf numFmtId="43" fontId="18" fillId="4" borderId="61" xfId="2" applyFont="1" applyFill="1" applyBorder="1" applyAlignment="1" applyProtection="1">
      <alignment vertical="center"/>
    </xf>
    <xf numFmtId="43" fontId="18" fillId="5" borderId="13" xfId="2" applyFont="1" applyFill="1" applyBorder="1" applyAlignment="1" applyProtection="1">
      <alignment vertical="center"/>
    </xf>
    <xf numFmtId="43" fontId="18" fillId="0" borderId="8" xfId="2" applyFont="1" applyBorder="1" applyAlignment="1" applyProtection="1">
      <alignment vertical="center"/>
    </xf>
    <xf numFmtId="43" fontId="10" fillId="0" borderId="0" xfId="2" applyFont="1" applyBorder="1" applyAlignment="1" applyProtection="1">
      <alignment vertical="center"/>
    </xf>
    <xf numFmtId="0" fontId="18" fillId="0" borderId="8" xfId="0" applyFont="1" applyBorder="1"/>
    <xf numFmtId="0" fontId="18" fillId="0" borderId="9" xfId="0" applyFont="1" applyBorder="1"/>
    <xf numFmtId="43" fontId="9" fillId="2" borderId="2" xfId="2" applyFont="1" applyFill="1" applyBorder="1" applyAlignment="1" applyProtection="1">
      <alignment vertical="center"/>
    </xf>
    <xf numFmtId="43" fontId="9" fillId="2" borderId="2" xfId="2" applyFont="1" applyFill="1" applyBorder="1" applyAlignment="1" applyProtection="1">
      <alignment horizontal="left" vertical="center"/>
    </xf>
    <xf numFmtId="43" fontId="9" fillId="3" borderId="0" xfId="2" applyFont="1" applyFill="1" applyBorder="1" applyAlignment="1" applyProtection="1">
      <alignment horizontal="center" vertical="center"/>
    </xf>
    <xf numFmtId="43" fontId="9" fillId="3" borderId="9" xfId="2" applyFont="1" applyFill="1" applyBorder="1" applyAlignment="1" applyProtection="1">
      <alignment horizontal="center" vertical="center"/>
    </xf>
    <xf numFmtId="0" fontId="18" fillId="7" borderId="16" xfId="2" applyNumberFormat="1" applyFont="1" applyFill="1" applyBorder="1" applyAlignment="1" applyProtection="1">
      <alignment vertical="center"/>
    </xf>
    <xf numFmtId="43" fontId="18" fillId="9" borderId="218" xfId="2" applyFont="1" applyFill="1" applyBorder="1" applyAlignment="1" applyProtection="1">
      <alignment vertical="center"/>
      <protection locked="0"/>
    </xf>
    <xf numFmtId="43" fontId="18" fillId="17" borderId="7" xfId="2" applyFont="1" applyFill="1" applyBorder="1" applyAlignment="1" applyProtection="1">
      <alignment vertical="center"/>
    </xf>
    <xf numFmtId="43" fontId="18" fillId="5" borderId="0" xfId="2" applyFont="1" applyFill="1" applyAlignment="1" applyProtection="1">
      <alignment vertical="center"/>
      <protection hidden="1"/>
    </xf>
    <xf numFmtId="43" fontId="18" fillId="0" borderId="6" xfId="2" applyFont="1" applyBorder="1" applyAlignment="1">
      <alignment vertical="center"/>
    </xf>
    <xf numFmtId="43" fontId="18" fillId="0" borderId="7" xfId="2" applyFont="1" applyBorder="1" applyAlignment="1">
      <alignment vertical="center"/>
    </xf>
    <xf numFmtId="43" fontId="18" fillId="0" borderId="5" xfId="2" applyFont="1" applyBorder="1" applyAlignment="1" applyProtection="1">
      <alignment vertical="center"/>
    </xf>
    <xf numFmtId="43" fontId="18" fillId="0" borderId="6" xfId="2" applyFont="1" applyFill="1" applyBorder="1" applyAlignment="1" applyProtection="1">
      <alignment horizontal="center" vertical="center"/>
    </xf>
    <xf numFmtId="43" fontId="18" fillId="0" borderId="7" xfId="2" applyFont="1" applyBorder="1" applyAlignment="1" applyProtection="1">
      <alignment vertical="center"/>
    </xf>
    <xf numFmtId="0" fontId="18" fillId="7" borderId="15" xfId="2" applyNumberFormat="1" applyFont="1" applyFill="1" applyBorder="1" applyAlignment="1" applyProtection="1">
      <alignment vertical="center"/>
    </xf>
    <xf numFmtId="43" fontId="18" fillId="9" borderId="215" xfId="2" applyFont="1" applyFill="1" applyBorder="1" applyAlignment="1" applyProtection="1">
      <alignment vertical="center"/>
      <protection locked="0"/>
    </xf>
    <xf numFmtId="43" fontId="18" fillId="17" borderId="216" xfId="2" applyFont="1" applyFill="1" applyBorder="1" applyAlignment="1" applyProtection="1">
      <alignment vertical="center"/>
    </xf>
    <xf numFmtId="43" fontId="50" fillId="5" borderId="0" xfId="2" applyFont="1" applyFill="1" applyAlignment="1" applyProtection="1">
      <alignment vertical="center"/>
      <protection hidden="1"/>
    </xf>
    <xf numFmtId="43" fontId="18" fillId="4" borderId="6" xfId="2" applyFont="1" applyFill="1" applyBorder="1" applyAlignment="1" applyProtection="1">
      <alignment vertical="center"/>
    </xf>
    <xf numFmtId="43" fontId="18" fillId="4" borderId="7" xfId="2" applyFont="1" applyFill="1" applyBorder="1" applyAlignment="1" applyProtection="1">
      <alignment vertical="center"/>
    </xf>
    <xf numFmtId="43" fontId="18" fillId="0" borderId="0" xfId="2" applyFont="1" applyBorder="1" applyAlignment="1">
      <alignment vertical="center"/>
    </xf>
    <xf numFmtId="43" fontId="18" fillId="0" borderId="9" xfId="2" applyFont="1" applyBorder="1" applyAlignment="1">
      <alignment vertical="center"/>
    </xf>
    <xf numFmtId="43" fontId="18" fillId="0" borderId="0" xfId="2" applyFont="1" applyFill="1" applyBorder="1" applyAlignment="1" applyProtection="1">
      <alignment horizontal="center" vertical="center"/>
    </xf>
    <xf numFmtId="43" fontId="18" fillId="7" borderId="16" xfId="2" applyFont="1" applyFill="1" applyBorder="1" applyAlignment="1" applyProtection="1">
      <alignment vertical="center" wrapText="1"/>
    </xf>
    <xf numFmtId="43" fontId="18" fillId="4" borderId="8" xfId="2" applyFont="1" applyFill="1" applyBorder="1" applyAlignment="1" applyProtection="1">
      <alignment vertical="center"/>
    </xf>
    <xf numFmtId="0" fontId="18" fillId="7" borderId="16" xfId="2" applyNumberFormat="1" applyFont="1" applyFill="1" applyBorder="1" applyAlignment="1" applyProtection="1">
      <alignment vertical="center" wrapText="1"/>
    </xf>
    <xf numFmtId="43" fontId="18" fillId="7" borderId="15" xfId="2" applyFont="1" applyFill="1" applyBorder="1" applyAlignment="1" applyProtection="1">
      <alignment vertical="center"/>
    </xf>
    <xf numFmtId="43" fontId="18" fillId="0" borderId="11" xfId="2" applyFont="1" applyBorder="1" applyAlignment="1" applyProtection="1">
      <alignment vertical="center"/>
    </xf>
    <xf numFmtId="43" fontId="18" fillId="0" borderId="12" xfId="2" applyFont="1" applyFill="1" applyBorder="1" applyAlignment="1" applyProtection="1">
      <alignment horizontal="center" vertical="center"/>
    </xf>
    <xf numFmtId="43" fontId="18" fillId="0" borderId="13" xfId="2" applyFont="1" applyBorder="1" applyAlignment="1" applyProtection="1">
      <alignment vertical="center"/>
    </xf>
    <xf numFmtId="43" fontId="18" fillId="0" borderId="12" xfId="2" applyFont="1" applyBorder="1" applyAlignment="1">
      <alignment vertical="center"/>
    </xf>
    <xf numFmtId="43" fontId="18" fillId="0" borderId="13" xfId="2" applyFont="1" applyBorder="1" applyAlignment="1">
      <alignment vertical="center"/>
    </xf>
    <xf numFmtId="43" fontId="0" fillId="9" borderId="249" xfId="2" applyFont="1" applyFill="1" applyBorder="1" applyAlignment="1" applyProtection="1">
      <alignment vertical="center"/>
      <protection locked="0"/>
    </xf>
    <xf numFmtId="0" fontId="0" fillId="18" borderId="122" xfId="0" applyFill="1" applyBorder="1" applyProtection="1">
      <protection locked="0"/>
    </xf>
    <xf numFmtId="43" fontId="0" fillId="9" borderId="247" xfId="2" applyFont="1" applyFill="1" applyBorder="1" applyAlignment="1" applyProtection="1">
      <alignment vertical="center"/>
      <protection locked="0"/>
    </xf>
    <xf numFmtId="0" fontId="0" fillId="18" borderId="238" xfId="0" applyFill="1" applyBorder="1" applyProtection="1">
      <protection locked="0"/>
    </xf>
    <xf numFmtId="0" fontId="0" fillId="18" borderId="123" xfId="0" applyFill="1" applyBorder="1" applyProtection="1">
      <protection locked="0"/>
    </xf>
    <xf numFmtId="43" fontId="0" fillId="9" borderId="248" xfId="2" applyFont="1" applyFill="1" applyBorder="1" applyAlignment="1" applyProtection="1">
      <alignment vertical="center"/>
      <protection locked="0"/>
    </xf>
    <xf numFmtId="0" fontId="0" fillId="18" borderId="180" xfId="0" applyFill="1" applyBorder="1" applyProtection="1">
      <protection locked="0"/>
    </xf>
    <xf numFmtId="43" fontId="18" fillId="18" borderId="122" xfId="2" applyFont="1" applyFill="1" applyBorder="1" applyAlignment="1" applyProtection="1">
      <alignment vertical="center"/>
      <protection locked="0"/>
    </xf>
    <xf numFmtId="43" fontId="18" fillId="18" borderId="107" xfId="2" applyFont="1" applyFill="1" applyBorder="1" applyAlignment="1" applyProtection="1">
      <alignment vertical="center"/>
      <protection locked="0"/>
    </xf>
    <xf numFmtId="0" fontId="0" fillId="18" borderId="194" xfId="0" applyFill="1" applyBorder="1" applyProtection="1">
      <protection locked="0"/>
    </xf>
    <xf numFmtId="0" fontId="0" fillId="18" borderId="144" xfId="0" applyFill="1" applyBorder="1" applyProtection="1">
      <protection locked="0"/>
    </xf>
    <xf numFmtId="0" fontId="0" fillId="18" borderId="82" xfId="0" applyFill="1" applyBorder="1" applyProtection="1">
      <protection locked="0"/>
    </xf>
    <xf numFmtId="0" fontId="0" fillId="18" borderId="250" xfId="0" applyFill="1" applyBorder="1" applyProtection="1">
      <protection locked="0"/>
    </xf>
    <xf numFmtId="0" fontId="0" fillId="18" borderId="247" xfId="0" applyFill="1" applyBorder="1" applyProtection="1">
      <protection locked="0"/>
    </xf>
    <xf numFmtId="0" fontId="0" fillId="18" borderId="107" xfId="0" applyFill="1" applyBorder="1" applyProtection="1">
      <protection locked="0"/>
    </xf>
    <xf numFmtId="0" fontId="0" fillId="18" borderId="268" xfId="0" applyFill="1" applyBorder="1" applyProtection="1">
      <protection locked="0"/>
    </xf>
    <xf numFmtId="0" fontId="0" fillId="18" borderId="269" xfId="0" applyFill="1" applyBorder="1" applyProtection="1">
      <protection locked="0"/>
    </xf>
    <xf numFmtId="0" fontId="0" fillId="18" borderId="106" xfId="0" applyFill="1" applyBorder="1" applyProtection="1">
      <protection locked="0"/>
    </xf>
    <xf numFmtId="0" fontId="0" fillId="18" borderId="230" xfId="0" applyFill="1" applyBorder="1" applyProtection="1">
      <protection locked="0"/>
    </xf>
    <xf numFmtId="0" fontId="0" fillId="0" borderId="0" xfId="0" applyAlignment="1">
      <alignment horizontal="right" vertical="center"/>
    </xf>
    <xf numFmtId="0" fontId="6" fillId="15" borderId="5" xfId="0" applyFont="1" applyFill="1" applyBorder="1"/>
    <xf numFmtId="43" fontId="12" fillId="12" borderId="0" xfId="2" applyFont="1" applyFill="1" applyBorder="1" applyAlignment="1">
      <alignment horizontal="left" vertical="center"/>
    </xf>
    <xf numFmtId="9" fontId="11" fillId="0" borderId="165" xfId="1" applyFont="1" applyFill="1" applyBorder="1" applyAlignment="1">
      <alignment vertical="center"/>
    </xf>
    <xf numFmtId="43" fontId="18" fillId="0" borderId="156" xfId="2" applyFont="1" applyBorder="1" applyAlignment="1" applyProtection="1">
      <alignment vertical="center"/>
    </xf>
    <xf numFmtId="166" fontId="18" fillId="0" borderId="5" xfId="2" applyNumberFormat="1" applyFont="1" applyBorder="1" applyAlignment="1" applyProtection="1">
      <alignment vertical="center"/>
    </xf>
    <xf numFmtId="166" fontId="18" fillId="0" borderId="6" xfId="2" applyNumberFormat="1" applyFont="1" applyBorder="1" applyAlignment="1" applyProtection="1">
      <alignment vertical="center"/>
    </xf>
    <xf numFmtId="43" fontId="10" fillId="0" borderId="6" xfId="2" applyFont="1" applyBorder="1" applyAlignment="1" applyProtection="1">
      <alignment vertical="center"/>
    </xf>
    <xf numFmtId="166" fontId="18" fillId="0" borderId="8" xfId="2" applyNumberFormat="1" applyFont="1" applyBorder="1" applyAlignment="1" applyProtection="1">
      <alignment vertical="center"/>
    </xf>
    <xf numFmtId="166" fontId="18" fillId="0" borderId="0" xfId="2" applyNumberFormat="1" applyFont="1" applyBorder="1" applyAlignment="1" applyProtection="1">
      <alignment vertical="center"/>
    </xf>
    <xf numFmtId="166" fontId="18" fillId="0" borderId="12" xfId="2" applyNumberFormat="1" applyFont="1" applyBorder="1" applyAlignment="1" applyProtection="1">
      <alignment vertical="center"/>
    </xf>
    <xf numFmtId="43" fontId="10" fillId="0" borderId="12" xfId="2" applyFont="1" applyBorder="1" applyAlignment="1" applyProtection="1">
      <alignment vertical="center"/>
    </xf>
    <xf numFmtId="43" fontId="12" fillId="12" borderId="12" xfId="2" applyFont="1" applyFill="1" applyBorder="1" applyAlignment="1">
      <alignment horizontal="center" vertical="top"/>
    </xf>
    <xf numFmtId="43" fontId="0" fillId="18" borderId="158" xfId="2" applyFont="1" applyFill="1" applyBorder="1" applyAlignment="1" applyProtection="1">
      <alignment horizontal="right" vertical="top" wrapText="1"/>
      <protection locked="0"/>
    </xf>
    <xf numFmtId="10" fontId="0" fillId="4" borderId="0" xfId="1" applyNumberFormat="1" applyFont="1" applyFill="1" applyBorder="1" applyAlignment="1">
      <alignment horizontal="right"/>
    </xf>
    <xf numFmtId="0" fontId="51" fillId="16" borderId="0" xfId="0" applyFont="1" applyFill="1"/>
    <xf numFmtId="43" fontId="0" fillId="18" borderId="34" xfId="2" applyFont="1" applyFill="1" applyBorder="1" applyAlignment="1" applyProtection="1">
      <alignment vertical="center"/>
    </xf>
    <xf numFmtId="0" fontId="9" fillId="2" borderId="2" xfId="0" applyFont="1" applyFill="1" applyBorder="1" applyAlignment="1" applyProtection="1">
      <alignment vertical="center" wrapText="1"/>
      <protection hidden="1"/>
    </xf>
    <xf numFmtId="0" fontId="9" fillId="2" borderId="1" xfId="0" applyFont="1" applyFill="1"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vertical="center"/>
      <protection hidden="1"/>
    </xf>
    <xf numFmtId="43" fontId="0" fillId="7" borderId="0" xfId="2" applyFont="1" applyFill="1" applyAlignment="1" applyProtection="1">
      <alignment vertical="center"/>
      <protection hidden="1"/>
    </xf>
    <xf numFmtId="43" fontId="0" fillId="5" borderId="0" xfId="2" applyFont="1" applyFill="1" applyAlignment="1" applyProtection="1">
      <alignment vertical="center"/>
      <protection hidden="1"/>
    </xf>
    <xf numFmtId="43" fontId="0" fillId="5" borderId="0" xfId="2" applyFont="1" applyFill="1" applyBorder="1" applyAlignment="1" applyProtection="1">
      <alignment vertical="center"/>
      <protection hidden="1"/>
    </xf>
    <xf numFmtId="0" fontId="0" fillId="18" borderId="167" xfId="2" applyNumberFormat="1" applyFont="1" applyFill="1" applyBorder="1" applyAlignment="1" applyProtection="1">
      <alignment horizontal="left" vertical="center"/>
      <protection locked="0" hidden="1"/>
    </xf>
    <xf numFmtId="0" fontId="0" fillId="18" borderId="169" xfId="2" applyNumberFormat="1" applyFont="1" applyFill="1" applyBorder="1" applyAlignment="1" applyProtection="1">
      <alignment horizontal="left" vertical="center"/>
      <protection locked="0" hidden="1"/>
    </xf>
    <xf numFmtId="0" fontId="0" fillId="0" borderId="0" xfId="2" applyNumberFormat="1" applyFont="1" applyAlignment="1">
      <alignment vertical="center"/>
    </xf>
    <xf numFmtId="0" fontId="0" fillId="0" borderId="0" xfId="0" quotePrefix="1"/>
    <xf numFmtId="9" fontId="0" fillId="0" borderId="0" xfId="1" applyFont="1"/>
    <xf numFmtId="43" fontId="18" fillId="0" borderId="0" xfId="2" applyFont="1" applyAlignment="1">
      <alignment vertical="center"/>
    </xf>
    <xf numFmtId="43" fontId="0" fillId="18" borderId="41" xfId="2" applyFont="1" applyFill="1" applyBorder="1" applyAlignment="1" applyProtection="1">
      <alignment horizontal="left" vertical="top" wrapText="1"/>
      <protection locked="0"/>
    </xf>
    <xf numFmtId="43" fontId="0" fillId="18" borderId="44" xfId="2" applyFont="1" applyFill="1" applyBorder="1" applyAlignment="1" applyProtection="1">
      <alignment horizontal="left" vertical="top" wrapText="1"/>
      <protection locked="0"/>
    </xf>
    <xf numFmtId="43" fontId="0" fillId="18" borderId="29" xfId="2" applyFont="1" applyFill="1" applyBorder="1" applyAlignment="1" applyProtection="1">
      <alignment horizontal="left" vertical="top" wrapText="1"/>
      <protection locked="0"/>
    </xf>
    <xf numFmtId="43" fontId="0" fillId="18" borderId="50" xfId="2" applyFont="1" applyFill="1" applyBorder="1" applyAlignment="1" applyProtection="1">
      <alignment horizontal="left" vertical="top" wrapText="1"/>
      <protection locked="0"/>
    </xf>
    <xf numFmtId="0" fontId="10" fillId="9" borderId="84" xfId="0" applyFont="1" applyFill="1" applyBorder="1" applyAlignment="1" applyProtection="1">
      <alignment vertical="center"/>
      <protection locked="0"/>
    </xf>
    <xf numFmtId="0" fontId="0" fillId="18" borderId="157" xfId="0" applyFill="1" applyBorder="1" applyAlignment="1" applyProtection="1">
      <alignment horizontal="left"/>
      <protection locked="0"/>
    </xf>
    <xf numFmtId="0" fontId="0" fillId="5" borderId="0" xfId="8" applyNumberFormat="1" applyFont="1" applyFill="1" applyAlignment="1">
      <alignment vertical="center"/>
    </xf>
    <xf numFmtId="0" fontId="0" fillId="7" borderId="0" xfId="8" applyNumberFormat="1" applyFont="1" applyFill="1" applyAlignment="1">
      <alignment vertical="center"/>
    </xf>
    <xf numFmtId="0" fontId="0" fillId="7" borderId="0" xfId="8" applyNumberFormat="1" applyFont="1" applyFill="1" applyAlignment="1">
      <alignment vertical="center" wrapText="1"/>
    </xf>
    <xf numFmtId="43" fontId="12" fillId="12" borderId="12" xfId="2" applyFont="1" applyFill="1" applyBorder="1" applyAlignment="1" applyProtection="1">
      <alignment horizontal="center" wrapText="1"/>
    </xf>
    <xf numFmtId="14" fontId="0" fillId="4" borderId="201" xfId="2" applyNumberFormat="1" applyFont="1" applyFill="1" applyBorder="1" applyAlignment="1" applyProtection="1">
      <alignment horizontal="left" vertical="center"/>
      <protection locked="0"/>
    </xf>
    <xf numFmtId="0" fontId="0" fillId="18" borderId="157" xfId="2" applyNumberFormat="1" applyFont="1" applyFill="1" applyBorder="1" applyAlignment="1" applyProtection="1">
      <alignment horizontal="left" vertical="center"/>
      <protection locked="0" hidden="1"/>
    </xf>
    <xf numFmtId="43" fontId="18" fillId="0" borderId="12" xfId="0" applyNumberFormat="1" applyFont="1" applyBorder="1" applyAlignment="1">
      <alignment vertical="center"/>
    </xf>
    <xf numFmtId="43" fontId="18" fillId="0" borderId="0" xfId="0" applyNumberFormat="1" applyFont="1" applyAlignment="1">
      <alignment vertical="center"/>
    </xf>
    <xf numFmtId="43" fontId="0" fillId="18" borderId="51" xfId="2" applyFont="1" applyFill="1" applyBorder="1" applyAlignment="1" applyProtection="1">
      <alignment vertical="top" wrapText="1"/>
      <protection locked="0"/>
    </xf>
    <xf numFmtId="43" fontId="9" fillId="3" borderId="5" xfId="2" applyFont="1" applyFill="1" applyBorder="1" applyAlignment="1" applyProtection="1">
      <alignment vertical="center"/>
    </xf>
    <xf numFmtId="43" fontId="18" fillId="3" borderId="6" xfId="2" applyFont="1" applyFill="1" applyBorder="1" applyAlignment="1" applyProtection="1">
      <alignment vertical="center"/>
    </xf>
    <xf numFmtId="43" fontId="18" fillId="3" borderId="7" xfId="2" applyFont="1" applyFill="1" applyBorder="1" applyAlignment="1" applyProtection="1">
      <alignment vertical="center"/>
    </xf>
    <xf numFmtId="43" fontId="9" fillId="3" borderId="8" xfId="2" applyFont="1" applyFill="1" applyBorder="1" applyAlignment="1" applyProtection="1">
      <alignment vertical="center"/>
    </xf>
    <xf numFmtId="43" fontId="18" fillId="3" borderId="0" xfId="2" applyFont="1" applyFill="1" applyBorder="1" applyAlignment="1" applyProtection="1">
      <alignment vertical="center"/>
    </xf>
    <xf numFmtId="43" fontId="18" fillId="3" borderId="9" xfId="2" applyFont="1" applyFill="1" applyBorder="1" applyAlignment="1" applyProtection="1">
      <alignment vertical="center"/>
    </xf>
    <xf numFmtId="43" fontId="18" fillId="3" borderId="8" xfId="2" applyFont="1" applyFill="1" applyBorder="1" applyAlignment="1" applyProtection="1">
      <alignment vertical="center"/>
    </xf>
    <xf numFmtId="43" fontId="9" fillId="3" borderId="155" xfId="2" applyFont="1" applyFill="1" applyBorder="1" applyAlignment="1" applyProtection="1">
      <alignment vertical="center"/>
    </xf>
    <xf numFmtId="43" fontId="18" fillId="0" borderId="102" xfId="0" applyNumberFormat="1" applyFont="1" applyBorder="1"/>
    <xf numFmtId="43" fontId="9" fillId="3" borderId="9" xfId="2" applyFont="1" applyFill="1" applyBorder="1" applyAlignment="1" applyProtection="1">
      <alignment vertical="center"/>
    </xf>
    <xf numFmtId="43" fontId="9" fillId="2" borderId="0" xfId="2" applyFont="1" applyFill="1" applyBorder="1" applyAlignment="1" applyProtection="1">
      <alignment horizontal="left" vertical="center"/>
    </xf>
    <xf numFmtId="166" fontId="18" fillId="0" borderId="5" xfId="2" applyNumberFormat="1" applyFont="1" applyBorder="1" applyAlignment="1">
      <alignment vertical="center"/>
    </xf>
    <xf numFmtId="166" fontId="18" fillId="0" borderId="0" xfId="2" applyNumberFormat="1" applyFont="1" applyBorder="1" applyAlignment="1">
      <alignment vertical="center"/>
    </xf>
    <xf numFmtId="166" fontId="18" fillId="0" borderId="8" xfId="2" applyNumberFormat="1" applyFont="1" applyBorder="1" applyAlignment="1">
      <alignment vertical="center"/>
    </xf>
    <xf numFmtId="166" fontId="18" fillId="0" borderId="11" xfId="2" applyNumberFormat="1" applyFont="1" applyBorder="1" applyAlignment="1">
      <alignment vertical="center"/>
    </xf>
    <xf numFmtId="166" fontId="18" fillId="0" borderId="12" xfId="2" applyNumberFormat="1" applyFont="1" applyBorder="1" applyAlignment="1">
      <alignment vertical="center"/>
    </xf>
    <xf numFmtId="43" fontId="9" fillId="2" borderId="153" xfId="2" applyFont="1" applyFill="1" applyBorder="1" applyAlignment="1" applyProtection="1">
      <alignment vertical="center"/>
    </xf>
    <xf numFmtId="168" fontId="18" fillId="0" borderId="111" xfId="2" applyNumberFormat="1" applyFont="1" applyBorder="1" applyAlignment="1" applyProtection="1">
      <alignment vertical="center"/>
    </xf>
    <xf numFmtId="168" fontId="18" fillId="0" borderId="93" xfId="2" applyNumberFormat="1" applyFont="1" applyBorder="1" applyAlignment="1" applyProtection="1">
      <alignment vertical="center"/>
    </xf>
    <xf numFmtId="43" fontId="18" fillId="0" borderId="93" xfId="2" applyFont="1" applyBorder="1" applyAlignment="1" applyProtection="1">
      <alignment vertical="center"/>
    </xf>
    <xf numFmtId="43" fontId="10" fillId="0" borderId="93" xfId="2" applyFont="1" applyBorder="1" applyAlignment="1" applyProtection="1">
      <alignment vertical="center"/>
    </xf>
    <xf numFmtId="43" fontId="18" fillId="0" borderId="8" xfId="2" applyFont="1" applyFill="1" applyBorder="1" applyAlignment="1" applyProtection="1">
      <alignment vertical="center"/>
    </xf>
    <xf numFmtId="43" fontId="18" fillId="0" borderId="9" xfId="2" applyFont="1" applyFill="1" applyBorder="1" applyAlignment="1" applyProtection="1">
      <alignment vertical="center"/>
    </xf>
    <xf numFmtId="43" fontId="18" fillId="0" borderId="85" xfId="2" applyFont="1" applyFill="1" applyBorder="1" applyAlignment="1" applyProtection="1">
      <alignment vertical="center"/>
    </xf>
    <xf numFmtId="43" fontId="18" fillId="0" borderId="103" xfId="2" applyFont="1" applyBorder="1" applyAlignment="1" applyProtection="1">
      <alignment vertical="center"/>
    </xf>
    <xf numFmtId="166" fontId="10" fillId="0" borderId="6" xfId="2" applyNumberFormat="1" applyFont="1" applyFill="1" applyBorder="1" applyAlignment="1" applyProtection="1">
      <alignment vertical="center"/>
    </xf>
    <xf numFmtId="166" fontId="10" fillId="0" borderId="0" xfId="2" applyNumberFormat="1" applyFont="1" applyFill="1" applyBorder="1" applyAlignment="1" applyProtection="1">
      <alignment vertical="center"/>
    </xf>
    <xf numFmtId="166" fontId="10" fillId="0" borderId="12" xfId="2" applyNumberFormat="1" applyFont="1" applyFill="1" applyBorder="1" applyAlignment="1" applyProtection="1">
      <alignment vertical="center"/>
    </xf>
    <xf numFmtId="43" fontId="18" fillId="0" borderId="111" xfId="2" applyFont="1" applyFill="1" applyBorder="1" applyAlignment="1" applyProtection="1">
      <alignment vertical="center"/>
    </xf>
    <xf numFmtId="43" fontId="10" fillId="0" borderId="93" xfId="2" applyFont="1" applyFill="1" applyBorder="1" applyAlignment="1" applyProtection="1">
      <alignment vertical="center"/>
    </xf>
    <xf numFmtId="43" fontId="9" fillId="3" borderId="0" xfId="2" applyFont="1" applyFill="1" applyBorder="1" applyAlignment="1" applyProtection="1">
      <alignment horizontal="left" vertical="center" wrapText="1"/>
    </xf>
    <xf numFmtId="43" fontId="9" fillId="3" borderId="0" xfId="2" applyFont="1" applyFill="1" applyBorder="1" applyAlignment="1">
      <alignment horizontal="left" vertical="center" wrapText="1"/>
    </xf>
    <xf numFmtId="43" fontId="9" fillId="3" borderId="0" xfId="2" applyFont="1" applyFill="1" applyBorder="1" applyAlignment="1">
      <alignment horizontal="left" vertical="center"/>
    </xf>
    <xf numFmtId="43" fontId="52" fillId="3" borderId="0" xfId="2" applyFont="1" applyFill="1" applyBorder="1" applyAlignment="1" applyProtection="1">
      <alignment vertical="center"/>
    </xf>
    <xf numFmtId="166" fontId="18" fillId="0" borderId="8" xfId="2" applyNumberFormat="1" applyFont="1" applyBorder="1" applyAlignment="1" applyProtection="1">
      <alignment vertical="center" wrapText="1"/>
    </xf>
    <xf numFmtId="166" fontId="18" fillId="0" borderId="11" xfId="2" applyNumberFormat="1" applyFont="1" applyBorder="1" applyAlignment="1" applyProtection="1">
      <alignment vertical="center" wrapText="1"/>
    </xf>
    <xf numFmtId="43" fontId="18" fillId="0" borderId="12" xfId="2" applyFont="1" applyFill="1" applyBorder="1" applyAlignment="1" applyProtection="1">
      <alignment vertical="center"/>
    </xf>
    <xf numFmtId="43" fontId="9" fillId="2" borderId="153" xfId="2" applyFont="1" applyFill="1" applyBorder="1" applyAlignment="1" applyProtection="1">
      <alignment horizontal="center" vertical="center"/>
    </xf>
    <xf numFmtId="43" fontId="9" fillId="2" borderId="2" xfId="2" applyFont="1" applyFill="1" applyBorder="1" applyAlignment="1" applyProtection="1">
      <alignment horizontal="center" vertical="center"/>
    </xf>
    <xf numFmtId="165" fontId="18" fillId="0" borderId="6" xfId="2" applyNumberFormat="1" applyFont="1" applyBorder="1" applyAlignment="1" applyProtection="1">
      <alignment vertical="center"/>
    </xf>
    <xf numFmtId="43" fontId="10" fillId="0" borderId="7" xfId="2" applyFont="1" applyBorder="1" applyAlignment="1" applyProtection="1">
      <alignment vertical="center"/>
    </xf>
    <xf numFmtId="165" fontId="18" fillId="0" borderId="0" xfId="2" applyNumberFormat="1" applyFont="1" applyBorder="1" applyAlignment="1" applyProtection="1">
      <alignment vertical="center"/>
    </xf>
    <xf numFmtId="43" fontId="10" fillId="0" borderId="9" xfId="2" applyFont="1" applyBorder="1" applyAlignment="1" applyProtection="1">
      <alignment vertical="center"/>
    </xf>
    <xf numFmtId="165" fontId="18" fillId="0" borderId="12" xfId="2" applyNumberFormat="1" applyFont="1" applyBorder="1" applyAlignment="1" applyProtection="1">
      <alignment vertical="center"/>
    </xf>
    <xf numFmtId="43" fontId="10" fillId="0" borderId="13" xfId="2" applyFont="1" applyBorder="1" applyAlignment="1" applyProtection="1">
      <alignment vertical="center"/>
    </xf>
    <xf numFmtId="164" fontId="18" fillId="0" borderId="12" xfId="2" applyNumberFormat="1" applyFont="1" applyBorder="1" applyAlignment="1" applyProtection="1">
      <alignment vertical="center"/>
    </xf>
    <xf numFmtId="167" fontId="18" fillId="0" borderId="6" xfId="2" applyNumberFormat="1" applyFont="1" applyBorder="1" applyAlignment="1" applyProtection="1">
      <alignment vertical="center"/>
    </xf>
    <xf numFmtId="167" fontId="18" fillId="0" borderId="0" xfId="2" applyNumberFormat="1" applyFont="1" applyBorder="1" applyAlignment="1" applyProtection="1">
      <alignment vertical="center"/>
    </xf>
    <xf numFmtId="166" fontId="18" fillId="0" borderId="11" xfId="2" applyNumberFormat="1" applyFont="1" applyBorder="1" applyAlignment="1" applyProtection="1">
      <alignment vertical="center"/>
    </xf>
    <xf numFmtId="43" fontId="10" fillId="0" borderId="155" xfId="2" applyFont="1" applyFill="1" applyBorder="1" applyAlignment="1" applyProtection="1">
      <alignment horizontal="right" vertical="center"/>
    </xf>
    <xf numFmtId="43" fontId="10" fillId="0" borderId="85" xfId="2" applyFont="1" applyFill="1" applyBorder="1" applyAlignment="1" applyProtection="1">
      <alignment horizontal="right" vertical="center"/>
    </xf>
    <xf numFmtId="43" fontId="10" fillId="0" borderId="156" xfId="2" applyFont="1" applyFill="1" applyBorder="1" applyAlignment="1" applyProtection="1">
      <alignment horizontal="right" vertical="center"/>
    </xf>
    <xf numFmtId="43" fontId="18" fillId="0" borderId="0" xfId="2" applyFont="1" applyFill="1" applyAlignment="1" applyProtection="1">
      <alignment vertical="center"/>
    </xf>
    <xf numFmtId="43" fontId="18" fillId="0" borderId="155" xfId="2" applyFont="1" applyFill="1" applyBorder="1" applyAlignment="1" applyProtection="1">
      <alignment vertical="center"/>
    </xf>
    <xf numFmtId="43" fontId="18" fillId="0" borderId="156" xfId="2" applyFont="1" applyFill="1" applyBorder="1" applyAlignment="1" applyProtection="1">
      <alignment vertical="center"/>
    </xf>
    <xf numFmtId="43" fontId="18" fillId="0" borderId="11" xfId="2" applyFont="1" applyFill="1" applyBorder="1" applyAlignment="1" applyProtection="1">
      <alignment vertical="center"/>
    </xf>
    <xf numFmtId="43" fontId="18" fillId="0" borderId="13" xfId="2" applyFont="1" applyFill="1" applyBorder="1" applyAlignment="1" applyProtection="1">
      <alignment vertical="center"/>
    </xf>
    <xf numFmtId="43" fontId="10" fillId="0" borderId="111" xfId="2" applyFont="1" applyFill="1" applyBorder="1" applyAlignment="1" applyProtection="1">
      <alignment horizontal="right" vertical="center"/>
    </xf>
    <xf numFmtId="43" fontId="18" fillId="0" borderId="165" xfId="2" applyFont="1" applyBorder="1" applyAlignment="1" applyProtection="1">
      <alignment vertical="center"/>
    </xf>
    <xf numFmtId="166" fontId="18" fillId="0" borderId="5" xfId="2" applyNumberFormat="1" applyFont="1" applyFill="1" applyBorder="1" applyAlignment="1" applyProtection="1">
      <alignment vertical="center"/>
    </xf>
    <xf numFmtId="43" fontId="10" fillId="0" borderId="6" xfId="2" applyFont="1" applyFill="1" applyBorder="1" applyAlignment="1" applyProtection="1">
      <alignment horizontal="center" vertical="center"/>
    </xf>
    <xf numFmtId="166" fontId="18" fillId="0" borderId="8" xfId="2" applyNumberFormat="1" applyFont="1" applyFill="1" applyBorder="1" applyAlignment="1" applyProtection="1">
      <alignment vertical="center"/>
    </xf>
    <xf numFmtId="43" fontId="10" fillId="0" borderId="0" xfId="2" applyFont="1" applyFill="1" applyBorder="1" applyAlignment="1" applyProtection="1">
      <alignment horizontal="center" vertical="center"/>
    </xf>
    <xf numFmtId="166" fontId="18" fillId="0" borderId="11" xfId="2" applyNumberFormat="1" applyFont="1" applyFill="1" applyBorder="1" applyAlignment="1" applyProtection="1">
      <alignment vertical="center"/>
    </xf>
    <xf numFmtId="43" fontId="10" fillId="0" borderId="12" xfId="2" applyFont="1" applyFill="1" applyBorder="1" applyAlignment="1" applyProtection="1">
      <alignment horizontal="center" vertical="center"/>
    </xf>
    <xf numFmtId="43" fontId="9" fillId="2" borderId="8" xfId="2" applyFont="1" applyFill="1" applyBorder="1" applyAlignment="1" applyProtection="1">
      <alignment vertical="center"/>
    </xf>
    <xf numFmtId="43" fontId="18" fillId="0" borderId="102" xfId="2" applyFont="1" applyBorder="1" applyAlignment="1" applyProtection="1">
      <alignment vertical="center"/>
    </xf>
    <xf numFmtId="43" fontId="18" fillId="13" borderId="8" xfId="2" applyFont="1" applyFill="1" applyBorder="1" applyAlignment="1" applyProtection="1">
      <alignment vertical="center"/>
    </xf>
    <xf numFmtId="43" fontId="18" fillId="13" borderId="0" xfId="2" applyFont="1" applyFill="1" applyBorder="1" applyAlignment="1" applyProtection="1">
      <alignment vertical="center"/>
    </xf>
    <xf numFmtId="43" fontId="18" fillId="13" borderId="9" xfId="2" applyFont="1" applyFill="1" applyBorder="1" applyAlignment="1" applyProtection="1">
      <alignment vertical="center"/>
    </xf>
    <xf numFmtId="43" fontId="18" fillId="13" borderId="0" xfId="2" applyFont="1" applyFill="1" applyAlignment="1" applyProtection="1">
      <alignment vertical="center"/>
    </xf>
    <xf numFmtId="43" fontId="6" fillId="0" borderId="0" xfId="2" applyFont="1" applyBorder="1" applyAlignment="1" applyProtection="1">
      <alignment vertical="center"/>
    </xf>
    <xf numFmtId="43" fontId="10" fillId="0" borderId="8" xfId="2" applyFont="1" applyFill="1" applyBorder="1" applyAlignment="1" applyProtection="1">
      <alignment horizontal="right" vertical="center"/>
    </xf>
    <xf numFmtId="43" fontId="9" fillId="0" borderId="8" xfId="2" applyFont="1" applyFill="1" applyBorder="1" applyAlignment="1" applyProtection="1">
      <alignment vertical="center"/>
    </xf>
    <xf numFmtId="0" fontId="18" fillId="0" borderId="11" xfId="0" applyFont="1" applyBorder="1"/>
    <xf numFmtId="0" fontId="18" fillId="0" borderId="12" xfId="0" applyFont="1" applyBorder="1"/>
    <xf numFmtId="0" fontId="18" fillId="0" borderId="6" xfId="0" applyFont="1" applyBorder="1"/>
    <xf numFmtId="43" fontId="20" fillId="0" borderId="0" xfId="2" applyFont="1" applyFill="1" applyBorder="1" applyAlignment="1" applyProtection="1">
      <alignment vertical="center"/>
    </xf>
    <xf numFmtId="43" fontId="10" fillId="0" borderId="0" xfId="2" applyFont="1" applyFill="1" applyBorder="1" applyAlignment="1" applyProtection="1">
      <alignment horizontal="right" vertical="center"/>
    </xf>
    <xf numFmtId="43" fontId="6" fillId="0" borderId="0" xfId="2" applyFont="1" applyAlignment="1" applyProtection="1">
      <alignment vertical="center"/>
    </xf>
    <xf numFmtId="0" fontId="10" fillId="9" borderId="82" xfId="0" applyFont="1" applyFill="1" applyBorder="1" applyAlignment="1" applyProtection="1">
      <alignment vertical="center"/>
      <protection locked="0"/>
    </xf>
    <xf numFmtId="43" fontId="9" fillId="3" borderId="8" xfId="2" applyFont="1" applyFill="1" applyBorder="1" applyAlignment="1" applyProtection="1">
      <alignment horizontal="left" vertical="center"/>
    </xf>
    <xf numFmtId="43" fontId="9" fillId="2" borderId="153" xfId="2" applyFont="1" applyFill="1" applyBorder="1" applyAlignment="1" applyProtection="1">
      <alignment horizontal="left" vertical="center" wrapText="1"/>
    </xf>
    <xf numFmtId="43" fontId="9" fillId="3" borderId="8" xfId="2" applyFont="1" applyFill="1" applyBorder="1" applyAlignment="1" applyProtection="1">
      <alignment horizontal="center" vertical="center"/>
    </xf>
    <xf numFmtId="164" fontId="18" fillId="0" borderId="0" xfId="2" applyNumberFormat="1" applyFont="1" applyBorder="1" applyAlignment="1" applyProtection="1">
      <alignment vertical="center"/>
    </xf>
    <xf numFmtId="43" fontId="18" fillId="3" borderId="0" xfId="2" applyFont="1" applyFill="1" applyBorder="1" applyAlignment="1" applyProtection="1">
      <alignment horizontal="center" vertical="center"/>
    </xf>
    <xf numFmtId="43" fontId="18" fillId="0" borderId="7" xfId="2" applyFont="1" applyFill="1" applyBorder="1" applyAlignment="1" applyProtection="1">
      <alignment vertical="center"/>
    </xf>
    <xf numFmtId="43" fontId="53" fillId="2" borderId="153" xfId="2" applyFont="1" applyFill="1" applyBorder="1" applyAlignment="1" applyProtection="1">
      <alignment horizontal="center" vertical="center"/>
    </xf>
    <xf numFmtId="43" fontId="9" fillId="2" borderId="8" xfId="2" applyFont="1" applyFill="1" applyBorder="1" applyAlignment="1" applyProtection="1">
      <alignment horizontal="left" vertical="center"/>
    </xf>
    <xf numFmtId="43" fontId="9" fillId="2" borderId="0" xfId="2" applyFont="1" applyFill="1" applyBorder="1" applyAlignment="1" applyProtection="1">
      <alignment vertical="center"/>
    </xf>
    <xf numFmtId="43" fontId="9" fillId="2" borderId="0" xfId="2" applyFont="1" applyFill="1" applyBorder="1" applyAlignment="1" applyProtection="1">
      <alignment horizontal="center" vertical="center"/>
    </xf>
    <xf numFmtId="43" fontId="10" fillId="0" borderId="5" xfId="2" applyFont="1" applyFill="1" applyBorder="1" applyAlignment="1" applyProtection="1">
      <alignment horizontal="left" vertical="center"/>
    </xf>
    <xf numFmtId="10" fontId="18" fillId="0" borderId="6" xfId="2" applyNumberFormat="1" applyFont="1" applyBorder="1" applyAlignment="1" applyProtection="1">
      <alignment vertical="center"/>
    </xf>
    <xf numFmtId="43" fontId="10" fillId="0" borderId="8" xfId="2" applyFont="1" applyFill="1" applyBorder="1" applyAlignment="1" applyProtection="1">
      <alignment horizontal="left" vertical="center"/>
    </xf>
    <xf numFmtId="10" fontId="18" fillId="0" borderId="0" xfId="2" applyNumberFormat="1" applyFont="1" applyBorder="1" applyAlignment="1" applyProtection="1">
      <alignment vertical="center"/>
    </xf>
    <xf numFmtId="43" fontId="10" fillId="0" borderId="11" xfId="2" applyFont="1" applyFill="1" applyBorder="1" applyAlignment="1" applyProtection="1">
      <alignment horizontal="left" vertical="center"/>
    </xf>
    <xf numFmtId="10" fontId="18" fillId="0" borderId="12" xfId="2" applyNumberFormat="1" applyFont="1" applyBorder="1" applyAlignment="1" applyProtection="1">
      <alignment vertical="center"/>
    </xf>
    <xf numFmtId="43" fontId="18" fillId="0" borderId="5" xfId="2" applyFont="1" applyFill="1" applyBorder="1" applyAlignment="1" applyProtection="1">
      <alignment vertical="center"/>
    </xf>
    <xf numFmtId="43" fontId="20" fillId="0" borderId="0" xfId="2" applyFont="1" applyBorder="1" applyAlignment="1" applyProtection="1">
      <alignment vertical="center"/>
    </xf>
    <xf numFmtId="43" fontId="10" fillId="0" borderId="11" xfId="2" applyFont="1" applyFill="1" applyBorder="1" applyAlignment="1" applyProtection="1">
      <alignment horizontal="right" vertical="center"/>
    </xf>
    <xf numFmtId="43" fontId="9" fillId="0" borderId="0" xfId="2" applyFont="1" applyFill="1" applyBorder="1" applyAlignment="1" applyProtection="1">
      <alignment horizontal="left" vertical="center"/>
    </xf>
    <xf numFmtId="43" fontId="9" fillId="0" borderId="0" xfId="2" applyFont="1" applyFill="1" applyBorder="1" applyAlignment="1" applyProtection="1">
      <alignment horizontal="center" vertical="center"/>
    </xf>
    <xf numFmtId="43" fontId="53" fillId="0" borderId="0" xfId="2" applyFont="1" applyFill="1" applyBorder="1" applyAlignment="1" applyProtection="1">
      <alignment vertical="center"/>
    </xf>
    <xf numFmtId="43" fontId="18" fillId="0" borderId="0" xfId="2" applyFont="1" applyFill="1" applyBorder="1" applyAlignment="1" applyProtection="1">
      <alignment vertical="center" wrapText="1"/>
    </xf>
    <xf numFmtId="43" fontId="6" fillId="0" borderId="0" xfId="2" applyFont="1" applyFill="1" applyBorder="1" applyAlignment="1" applyProtection="1">
      <alignment horizontal="center" vertical="center"/>
    </xf>
    <xf numFmtId="43" fontId="6" fillId="0" borderId="0" xfId="2" applyFont="1" applyFill="1" applyBorder="1" applyAlignment="1" applyProtection="1">
      <alignment vertical="center"/>
    </xf>
    <xf numFmtId="43" fontId="54" fillId="0" borderId="0" xfId="2" applyFont="1" applyFill="1" applyBorder="1" applyAlignment="1" applyProtection="1">
      <alignment horizontal="right" vertical="center"/>
    </xf>
    <xf numFmtId="43" fontId="20" fillId="0" borderId="0" xfId="2" applyFont="1" applyFill="1" applyBorder="1" applyAlignment="1" applyProtection="1">
      <alignment horizontal="left" vertical="center"/>
    </xf>
    <xf numFmtId="43" fontId="20" fillId="0" borderId="0" xfId="2" applyFont="1" applyFill="1" applyBorder="1" applyAlignment="1" applyProtection="1">
      <alignment horizontal="center" vertical="center"/>
    </xf>
    <xf numFmtId="43" fontId="9" fillId="0" borderId="0" xfId="2" applyFont="1" applyFill="1" applyBorder="1" applyAlignment="1" applyProtection="1">
      <alignment vertical="center"/>
    </xf>
    <xf numFmtId="43" fontId="6" fillId="0" borderId="0" xfId="2" applyFont="1" applyFill="1" applyAlignment="1" applyProtection="1">
      <alignment vertical="center"/>
    </xf>
    <xf numFmtId="43" fontId="5" fillId="12" borderId="0" xfId="2" applyFont="1" applyFill="1" applyBorder="1" applyAlignment="1" applyProtection="1">
      <alignment vertical="center" wrapText="1"/>
    </xf>
    <xf numFmtId="43" fontId="5" fillId="12" borderId="12" xfId="2" applyFont="1" applyFill="1" applyBorder="1" applyAlignment="1" applyProtection="1">
      <alignment horizontal="center"/>
    </xf>
    <xf numFmtId="43" fontId="12" fillId="12" borderId="12" xfId="2" applyFont="1" applyFill="1" applyBorder="1" applyAlignment="1" applyProtection="1">
      <alignment horizontal="center"/>
    </xf>
    <xf numFmtId="43" fontId="18" fillId="4" borderId="6" xfId="2" applyFont="1" applyFill="1" applyBorder="1" applyAlignment="1">
      <alignment vertical="center"/>
    </xf>
    <xf numFmtId="43" fontId="0" fillId="0" borderId="85" xfId="0" applyNumberFormat="1" applyBorder="1"/>
    <xf numFmtId="43" fontId="0" fillId="17" borderId="292" xfId="2" applyFont="1" applyFill="1" applyBorder="1" applyAlignment="1">
      <alignment vertical="center"/>
    </xf>
    <xf numFmtId="43" fontId="0" fillId="9" borderId="293" xfId="2" applyFont="1" applyFill="1" applyBorder="1" applyAlignment="1" applyProtection="1">
      <alignment vertical="center"/>
      <protection locked="0"/>
    </xf>
    <xf numFmtId="0" fontId="0" fillId="7" borderId="16" xfId="2" applyNumberFormat="1" applyFont="1" applyFill="1" applyBorder="1" applyAlignment="1">
      <alignment horizontal="left" vertical="center" wrapText="1"/>
    </xf>
    <xf numFmtId="0" fontId="13" fillId="0" borderId="0" xfId="0" applyFont="1" applyAlignment="1">
      <alignment vertical="center" wrapText="1"/>
    </xf>
    <xf numFmtId="0" fontId="0" fillId="0" borderId="0" xfId="0" applyAlignment="1">
      <alignment vertical="top" wrapText="1"/>
    </xf>
    <xf numFmtId="0" fontId="18" fillId="9" borderId="151" xfId="0" applyFont="1" applyFill="1" applyBorder="1" applyProtection="1">
      <protection locked="0"/>
    </xf>
    <xf numFmtId="0" fontId="18" fillId="18" borderId="101" xfId="0" applyFont="1" applyFill="1" applyBorder="1" applyProtection="1">
      <protection locked="0"/>
    </xf>
    <xf numFmtId="0" fontId="18" fillId="9" borderId="149" xfId="0" applyFont="1" applyFill="1" applyBorder="1" applyProtection="1">
      <protection locked="0"/>
    </xf>
    <xf numFmtId="0" fontId="18" fillId="18" borderId="75" xfId="0" applyFont="1" applyFill="1" applyBorder="1" applyProtection="1">
      <protection locked="0"/>
    </xf>
    <xf numFmtId="43" fontId="50" fillId="5" borderId="0" xfId="2" applyFont="1" applyFill="1" applyAlignment="1" applyProtection="1">
      <alignment vertical="center"/>
    </xf>
    <xf numFmtId="0" fontId="8" fillId="3" borderId="0" xfId="0" applyFont="1" applyFill="1" applyAlignment="1" applyProtection="1">
      <alignment horizontal="left" vertical="top" wrapText="1"/>
      <protection hidden="1"/>
    </xf>
    <xf numFmtId="0" fontId="8" fillId="3" borderId="0" xfId="0" applyFont="1" applyFill="1" applyAlignment="1" applyProtection="1">
      <alignment vertical="top" wrapText="1"/>
      <protection hidden="1"/>
    </xf>
    <xf numFmtId="0" fontId="56" fillId="3" borderId="0" xfId="0" applyFont="1" applyFill="1" applyAlignment="1">
      <alignment vertical="center"/>
    </xf>
    <xf numFmtId="0" fontId="47" fillId="3" borderId="0" xfId="0" applyFont="1" applyFill="1" applyAlignment="1">
      <alignment vertical="center"/>
    </xf>
    <xf numFmtId="0" fontId="56" fillId="3" borderId="0" xfId="0" applyFont="1" applyFill="1" applyAlignment="1">
      <alignment horizontal="left" vertical="center"/>
    </xf>
    <xf numFmtId="0" fontId="56" fillId="2" borderId="1" xfId="0" applyFont="1" applyFill="1" applyBorder="1" applyAlignment="1">
      <alignment vertical="center" wrapText="1"/>
    </xf>
    <xf numFmtId="0" fontId="56" fillId="2" borderId="2" xfId="0" applyFont="1" applyFill="1" applyBorder="1" applyAlignment="1">
      <alignment vertical="center"/>
    </xf>
    <xf numFmtId="0" fontId="56" fillId="2" borderId="2" xfId="0" applyFont="1" applyFill="1" applyBorder="1" applyAlignment="1">
      <alignment horizontal="left" vertical="center"/>
    </xf>
    <xf numFmtId="0" fontId="56" fillId="2" borderId="2" xfId="0" applyFont="1" applyFill="1" applyBorder="1" applyAlignment="1">
      <alignment horizontal="center" vertical="center"/>
    </xf>
    <xf numFmtId="0" fontId="8" fillId="3" borderId="0" xfId="0" applyFont="1" applyFill="1" applyAlignment="1" applyProtection="1">
      <alignment vertical="top"/>
      <protection hidden="1"/>
    </xf>
    <xf numFmtId="43" fontId="23" fillId="12" borderId="8" xfId="2" applyFont="1" applyFill="1" applyBorder="1" applyAlignment="1" applyProtection="1">
      <alignment vertical="center"/>
      <protection hidden="1"/>
    </xf>
    <xf numFmtId="43" fontId="23" fillId="12" borderId="0" xfId="2" applyFont="1" applyFill="1" applyBorder="1" applyAlignment="1" applyProtection="1">
      <alignment vertical="center"/>
      <protection hidden="1"/>
    </xf>
    <xf numFmtId="0" fontId="1" fillId="3" borderId="0" xfId="0" applyFont="1" applyFill="1" applyAlignment="1" applyProtection="1">
      <alignment vertical="top" wrapText="1"/>
      <protection hidden="1"/>
    </xf>
    <xf numFmtId="0" fontId="58" fillId="3" borderId="0" xfId="10" applyFont="1" applyFill="1" applyAlignment="1" applyProtection="1">
      <protection hidden="1"/>
    </xf>
    <xf numFmtId="0" fontId="1" fillId="3" borderId="0" xfId="0" applyFont="1" applyFill="1" applyAlignment="1" applyProtection="1">
      <alignment vertical="center" wrapText="1"/>
      <protection hidden="1"/>
    </xf>
    <xf numFmtId="0" fontId="8" fillId="3" borderId="0" xfId="0" applyFont="1" applyFill="1" applyAlignment="1" applyProtection="1">
      <alignment vertical="center" wrapText="1"/>
      <protection hidden="1"/>
    </xf>
    <xf numFmtId="0" fontId="8" fillId="3" borderId="0" xfId="0" applyFont="1" applyFill="1" applyAlignment="1" applyProtection="1">
      <alignment horizontal="left" vertical="center" wrapText="1"/>
      <protection hidden="1"/>
    </xf>
    <xf numFmtId="0" fontId="8" fillId="3" borderId="0" xfId="0" applyFont="1" applyFill="1" applyAlignment="1" applyProtection="1">
      <alignment horizontal="left" vertical="top" wrapText="1"/>
      <protection hidden="1"/>
    </xf>
    <xf numFmtId="0" fontId="8" fillId="3" borderId="0" xfId="0" applyFont="1" applyFill="1" applyAlignment="1" applyProtection="1">
      <alignment horizontal="left" vertical="top"/>
      <protection hidden="1"/>
    </xf>
    <xf numFmtId="0" fontId="1" fillId="3" borderId="0" xfId="0" applyFont="1" applyFill="1" applyAlignment="1" applyProtection="1">
      <alignment horizontal="left" vertical="center" wrapText="1"/>
      <protection hidden="1"/>
    </xf>
    <xf numFmtId="0" fontId="0" fillId="3" borderId="0" xfId="0" applyFill="1" applyAlignment="1" applyProtection="1">
      <alignment horizontal="center"/>
      <protection hidden="1"/>
    </xf>
    <xf numFmtId="0" fontId="41" fillId="0" borderId="0" xfId="0" applyFont="1" applyAlignment="1" applyProtection="1">
      <alignment horizontal="left" vertical="top" wrapText="1"/>
      <protection hidden="1"/>
    </xf>
    <xf numFmtId="43" fontId="23" fillId="11" borderId="0" xfId="2" applyFont="1" applyFill="1" applyBorder="1" applyAlignment="1" applyProtection="1">
      <alignment horizontal="center" vertical="center"/>
      <protection hidden="1"/>
    </xf>
    <xf numFmtId="0" fontId="8" fillId="3" borderId="0" xfId="0" applyFont="1" applyFill="1" applyAlignment="1" applyProtection="1">
      <alignment horizontal="center"/>
      <protection hidden="1"/>
    </xf>
    <xf numFmtId="0" fontId="8" fillId="3" borderId="0" xfId="0" applyFont="1" applyFill="1" applyAlignment="1" applyProtection="1">
      <alignment horizontal="left" wrapText="1"/>
      <protection hidden="1"/>
    </xf>
    <xf numFmtId="0" fontId="1" fillId="3" borderId="0" xfId="0" applyFont="1" applyFill="1" applyAlignment="1" applyProtection="1">
      <alignment horizontal="center" vertical="center" wrapText="1"/>
      <protection hidden="1"/>
    </xf>
    <xf numFmtId="43" fontId="23" fillId="12" borderId="0" xfId="2" applyFont="1" applyFill="1" applyBorder="1" applyAlignment="1" applyProtection="1">
      <alignment horizontal="center" vertical="center"/>
      <protection hidden="1"/>
    </xf>
    <xf numFmtId="0" fontId="41" fillId="0" borderId="12" xfId="0" applyFont="1" applyBorder="1" applyAlignment="1">
      <alignment horizontal="left" vertical="top" wrapText="1"/>
    </xf>
    <xf numFmtId="43" fontId="5" fillId="0" borderId="0" xfId="2" applyFont="1" applyAlignment="1">
      <alignment horizontal="center" vertical="center"/>
    </xf>
    <xf numFmtId="43" fontId="12" fillId="0" borderId="0" xfId="2" applyFont="1" applyFill="1" applyBorder="1" applyAlignment="1">
      <alignment horizontal="center" vertical="center"/>
    </xf>
    <xf numFmtId="43" fontId="25" fillId="12" borderId="6" xfId="2" applyFont="1" applyFill="1" applyBorder="1" applyAlignment="1">
      <alignment horizontal="center" vertical="center" wrapText="1"/>
    </xf>
    <xf numFmtId="43" fontId="5" fillId="12" borderId="0" xfId="2" applyFont="1" applyFill="1" applyBorder="1" applyAlignment="1">
      <alignment horizontal="center" vertical="center" wrapText="1"/>
    </xf>
    <xf numFmtId="43" fontId="5" fillId="12" borderId="12" xfId="2" applyFont="1" applyFill="1" applyBorder="1" applyAlignment="1">
      <alignment horizontal="center" vertical="center" wrapText="1"/>
    </xf>
    <xf numFmtId="43" fontId="12" fillId="12" borderId="0" xfId="2" applyFont="1" applyFill="1" applyBorder="1" applyAlignment="1">
      <alignment horizontal="center" vertical="center" wrapText="1"/>
    </xf>
    <xf numFmtId="43" fontId="12" fillId="12" borderId="12" xfId="2" applyFont="1" applyFill="1" applyBorder="1" applyAlignment="1">
      <alignment horizontal="center" vertical="center" wrapText="1"/>
    </xf>
    <xf numFmtId="43" fontId="12" fillId="0" borderId="0" xfId="2" applyFont="1" applyFill="1" applyBorder="1" applyAlignment="1">
      <alignment horizontal="right" vertical="center"/>
    </xf>
    <xf numFmtId="0" fontId="42" fillId="0" borderId="0" xfId="0" applyFont="1" applyAlignment="1">
      <alignment horizontal="left" vertical="top" wrapText="1"/>
    </xf>
    <xf numFmtId="43" fontId="1" fillId="3" borderId="0" xfId="2" applyFont="1" applyFill="1" applyAlignment="1">
      <alignment horizontal="center" vertical="center" wrapText="1"/>
    </xf>
    <xf numFmtId="43" fontId="1" fillId="3" borderId="8" xfId="2" applyFont="1" applyFill="1" applyBorder="1" applyAlignment="1">
      <alignment horizontal="center" vertical="center" wrapText="1"/>
    </xf>
    <xf numFmtId="43" fontId="1" fillId="3" borderId="0" xfId="2" applyFont="1" applyFill="1" applyBorder="1" applyAlignment="1">
      <alignment horizontal="center" vertical="center" wrapText="1"/>
    </xf>
    <xf numFmtId="0" fontId="0" fillId="7" borderId="18" xfId="2" applyNumberFormat="1" applyFont="1" applyFill="1" applyBorder="1" applyAlignment="1">
      <alignment horizontal="left" vertical="top" wrapText="1"/>
    </xf>
    <xf numFmtId="0" fontId="0" fillId="7" borderId="12" xfId="2" applyNumberFormat="1" applyFont="1" applyFill="1" applyBorder="1" applyAlignment="1">
      <alignment horizontal="left" vertical="top" wrapText="1"/>
    </xf>
    <xf numFmtId="43" fontId="25" fillId="12" borderId="6" xfId="2" applyFont="1" applyFill="1" applyBorder="1" applyAlignment="1" applyProtection="1">
      <alignment horizontal="left" vertical="center" wrapText="1"/>
    </xf>
    <xf numFmtId="43" fontId="20" fillId="0" borderId="0" xfId="2" applyFont="1" applyFill="1" applyBorder="1" applyAlignment="1" applyProtection="1">
      <alignment horizontal="right" vertical="center"/>
    </xf>
    <xf numFmtId="43" fontId="9" fillId="3" borderId="0" xfId="2" applyFont="1" applyFill="1" applyAlignment="1" applyProtection="1">
      <alignment horizontal="center" vertical="center" wrapText="1"/>
    </xf>
    <xf numFmtId="43" fontId="9" fillId="3" borderId="8" xfId="2" applyFont="1" applyFill="1" applyBorder="1" applyAlignment="1" applyProtection="1">
      <alignment horizontal="center" vertical="center" wrapText="1"/>
    </xf>
    <xf numFmtId="43" fontId="9" fillId="3" borderId="0" xfId="2" applyFont="1" applyFill="1" applyBorder="1" applyAlignment="1" applyProtection="1">
      <alignment horizontal="center" vertical="center" wrapText="1"/>
    </xf>
    <xf numFmtId="43" fontId="12" fillId="12" borderId="0" xfId="2" applyFont="1" applyFill="1" applyAlignment="1" applyProtection="1">
      <alignment horizontal="center" vertical="center" wrapText="1"/>
    </xf>
    <xf numFmtId="43" fontId="12" fillId="12" borderId="12" xfId="2" applyFont="1" applyFill="1" applyBorder="1" applyAlignment="1" applyProtection="1">
      <alignment horizontal="center" vertical="center" wrapText="1"/>
    </xf>
    <xf numFmtId="43" fontId="12" fillId="12" borderId="0" xfId="2" applyFont="1" applyFill="1" applyBorder="1" applyAlignment="1" applyProtection="1">
      <alignment horizontal="center" wrapText="1"/>
    </xf>
    <xf numFmtId="43" fontId="12" fillId="12" borderId="12" xfId="2" applyFont="1" applyFill="1" applyBorder="1" applyAlignment="1" applyProtection="1">
      <alignment horizontal="center" wrapText="1"/>
    </xf>
    <xf numFmtId="43" fontId="5" fillId="12" borderId="0" xfId="2" applyFont="1" applyFill="1" applyBorder="1" applyAlignment="1" applyProtection="1">
      <alignment horizontal="center" wrapText="1"/>
    </xf>
    <xf numFmtId="43" fontId="5" fillId="12" borderId="12" xfId="2" applyFont="1" applyFill="1" applyBorder="1" applyAlignment="1" applyProtection="1">
      <alignment horizontal="center" wrapText="1"/>
    </xf>
    <xf numFmtId="43" fontId="5" fillId="12" borderId="0" xfId="2" applyFont="1" applyFill="1" applyAlignment="1" applyProtection="1">
      <alignment horizontal="center" wrapText="1"/>
    </xf>
    <xf numFmtId="43" fontId="12" fillId="12" borderId="0" xfId="2" applyFont="1" applyFill="1" applyBorder="1" applyAlignment="1" applyProtection="1">
      <alignment horizontal="center" vertical="center" wrapText="1"/>
    </xf>
    <xf numFmtId="43" fontId="6" fillId="0" borderId="0" xfId="2" applyFont="1" applyFill="1" applyAlignment="1" applyProtection="1">
      <alignment horizontal="center" vertical="center"/>
    </xf>
    <xf numFmtId="43" fontId="9" fillId="0" borderId="0" xfId="2" applyFont="1" applyFill="1" applyBorder="1" applyAlignment="1" applyProtection="1">
      <alignment horizontal="center" vertical="center"/>
    </xf>
    <xf numFmtId="43" fontId="6" fillId="0" borderId="0" xfId="2" applyFont="1" applyFill="1" applyBorder="1" applyAlignment="1" applyProtection="1">
      <alignment horizontal="center" vertical="center"/>
    </xf>
    <xf numFmtId="43" fontId="20" fillId="0" borderId="0" xfId="2" applyFont="1" applyFill="1" applyBorder="1" applyAlignment="1" applyProtection="1">
      <alignment horizontal="center" vertical="center"/>
    </xf>
    <xf numFmtId="43" fontId="25" fillId="12" borderId="6" xfId="2" applyFont="1" applyFill="1" applyBorder="1" applyAlignment="1" applyProtection="1">
      <alignment horizontal="center" vertical="center" wrapText="1"/>
    </xf>
    <xf numFmtId="0" fontId="42" fillId="0" borderId="12" xfId="0" applyFont="1" applyBorder="1" applyAlignment="1">
      <alignment horizontal="left" vertical="top" wrapText="1"/>
    </xf>
    <xf numFmtId="0" fontId="18" fillId="7" borderId="18" xfId="2" applyNumberFormat="1" applyFont="1" applyFill="1" applyBorder="1" applyAlignment="1" applyProtection="1">
      <alignment horizontal="left" vertical="top" wrapText="1"/>
    </xf>
    <xf numFmtId="0" fontId="18" fillId="7" borderId="12" xfId="2" applyNumberFormat="1" applyFont="1" applyFill="1" applyBorder="1" applyAlignment="1" applyProtection="1">
      <alignment horizontal="left" vertical="top" wrapText="1"/>
    </xf>
    <xf numFmtId="0" fontId="2" fillId="0" borderId="12" xfId="0" applyFont="1" applyBorder="1" applyAlignment="1">
      <alignment horizontal="left" vertical="top" wrapText="1"/>
    </xf>
    <xf numFmtId="43" fontId="12" fillId="0" borderId="0" xfId="2" applyFont="1" applyFill="1" applyBorder="1" applyAlignment="1" applyProtection="1">
      <alignment horizontal="center" vertical="center"/>
    </xf>
    <xf numFmtId="43" fontId="12" fillId="0" borderId="0" xfId="2" applyFont="1" applyFill="1" applyBorder="1" applyAlignment="1" applyProtection="1">
      <alignment horizontal="right" vertical="center"/>
    </xf>
    <xf numFmtId="43" fontId="5" fillId="0" borderId="0" xfId="2" applyFont="1" applyAlignment="1" applyProtection="1">
      <alignment horizontal="center" vertical="center"/>
    </xf>
    <xf numFmtId="43" fontId="5" fillId="12" borderId="0" xfId="2" applyFont="1" applyFill="1" applyBorder="1" applyAlignment="1" applyProtection="1">
      <alignment horizontal="center" vertical="center" wrapText="1"/>
    </xf>
    <xf numFmtId="43" fontId="5" fillId="12" borderId="12" xfId="2" applyFont="1" applyFill="1" applyBorder="1" applyAlignment="1" applyProtection="1">
      <alignment horizontal="center" vertical="center" wrapText="1"/>
    </xf>
    <xf numFmtId="43" fontId="1" fillId="3" borderId="0" xfId="2" applyFont="1" applyFill="1" applyAlignment="1" applyProtection="1">
      <alignment horizontal="center" vertical="center" wrapText="1"/>
    </xf>
    <xf numFmtId="43" fontId="1" fillId="3" borderId="8" xfId="2" applyFont="1" applyFill="1" applyBorder="1" applyAlignment="1" applyProtection="1">
      <alignment horizontal="center" vertical="center" wrapText="1"/>
    </xf>
    <xf numFmtId="43" fontId="1" fillId="3" borderId="0" xfId="2" applyFont="1" applyFill="1" applyBorder="1" applyAlignment="1" applyProtection="1">
      <alignment horizontal="center" vertical="center" wrapText="1"/>
    </xf>
    <xf numFmtId="43" fontId="1" fillId="3" borderId="9" xfId="2" applyFont="1" applyFill="1" applyBorder="1" applyAlignment="1" applyProtection="1">
      <alignment horizontal="center" vertical="center" wrapText="1"/>
    </xf>
    <xf numFmtId="0" fontId="0" fillId="7" borderId="18" xfId="2" applyNumberFormat="1" applyFont="1" applyFill="1" applyBorder="1" applyAlignment="1" applyProtection="1">
      <alignment horizontal="left" vertical="center" wrapText="1"/>
    </xf>
    <xf numFmtId="0" fontId="0" fillId="7" borderId="12" xfId="2" applyNumberFormat="1" applyFont="1" applyFill="1" applyBorder="1" applyAlignment="1" applyProtection="1">
      <alignment horizontal="left" vertical="center" wrapText="1"/>
    </xf>
    <xf numFmtId="0" fontId="40" fillId="4" borderId="0" xfId="6" applyFont="1" applyFill="1" applyAlignment="1">
      <alignment horizontal="center" vertical="center"/>
    </xf>
    <xf numFmtId="172" fontId="37" fillId="16" borderId="0" xfId="2" applyNumberFormat="1" applyFont="1" applyFill="1" applyAlignment="1">
      <alignment horizontal="right"/>
    </xf>
    <xf numFmtId="0" fontId="37" fillId="16" borderId="0" xfId="0" applyFont="1" applyFill="1" applyAlignment="1">
      <alignment horizontal="right"/>
    </xf>
    <xf numFmtId="0" fontId="6" fillId="16" borderId="255" xfId="0" applyFont="1" applyFill="1" applyBorder="1" applyAlignment="1">
      <alignment horizontal="left" vertical="top" wrapText="1"/>
    </xf>
    <xf numFmtId="0" fontId="6" fillId="16" borderId="0" xfId="0" applyFont="1" applyFill="1" applyAlignment="1">
      <alignment horizontal="left" vertical="top" wrapText="1"/>
    </xf>
    <xf numFmtId="0" fontId="6" fillId="16" borderId="257" xfId="0" applyFont="1" applyFill="1" applyBorder="1" applyAlignment="1">
      <alignment horizontal="left" vertical="top" wrapText="1"/>
    </xf>
    <xf numFmtId="0" fontId="6" fillId="16" borderId="258" xfId="0" applyFont="1" applyFill="1" applyBorder="1" applyAlignment="1">
      <alignment horizontal="left" vertical="top" wrapText="1"/>
    </xf>
    <xf numFmtId="173" fontId="0" fillId="15" borderId="5" xfId="0" applyNumberFormat="1" applyFill="1" applyBorder="1" applyAlignment="1">
      <alignment horizontal="center"/>
    </xf>
    <xf numFmtId="173" fontId="0" fillId="15" borderId="7" xfId="0" applyNumberFormat="1" applyFill="1" applyBorder="1" applyAlignment="1">
      <alignment horizontal="center"/>
    </xf>
    <xf numFmtId="173" fontId="0" fillId="15" borderId="8" xfId="0" applyNumberFormat="1" applyFill="1" applyBorder="1" applyAlignment="1">
      <alignment horizontal="center"/>
    </xf>
    <xf numFmtId="173" fontId="0" fillId="15" borderId="9" xfId="0" applyNumberFormat="1" applyFill="1" applyBorder="1" applyAlignment="1">
      <alignment horizontal="center"/>
    </xf>
    <xf numFmtId="173" fontId="0" fillId="15" borderId="11" xfId="0" applyNumberFormat="1" applyFill="1" applyBorder="1" applyAlignment="1">
      <alignment horizontal="center"/>
    </xf>
    <xf numFmtId="173" fontId="0" fillId="15" borderId="13" xfId="0" applyNumberFormat="1" applyFill="1" applyBorder="1" applyAlignment="1">
      <alignment horizontal="center"/>
    </xf>
    <xf numFmtId="0" fontId="0" fillId="15" borderId="5" xfId="0" applyFill="1" applyBorder="1" applyAlignment="1">
      <alignment horizontal="center"/>
    </xf>
    <xf numFmtId="0" fontId="0" fillId="15" borderId="7" xfId="0" applyFill="1" applyBorder="1" applyAlignment="1">
      <alignment horizontal="center"/>
    </xf>
    <xf numFmtId="0" fontId="0" fillId="15" borderId="8" xfId="0" applyFill="1" applyBorder="1" applyAlignment="1">
      <alignment horizontal="center"/>
    </xf>
    <xf numFmtId="0" fontId="0" fillId="15" borderId="9" xfId="0" applyFill="1" applyBorder="1" applyAlignment="1">
      <alignment horizontal="center"/>
    </xf>
    <xf numFmtId="0" fontId="0" fillId="15" borderId="11" xfId="0" applyFill="1" applyBorder="1" applyAlignment="1">
      <alignment horizontal="center"/>
    </xf>
    <xf numFmtId="0" fontId="0" fillId="15" borderId="13" xfId="0" applyFill="1" applyBorder="1" applyAlignment="1">
      <alignment horizontal="center"/>
    </xf>
    <xf numFmtId="0" fontId="0" fillId="15" borderId="0" xfId="0" applyFill="1" applyAlignment="1">
      <alignment horizontal="center"/>
    </xf>
    <xf numFmtId="0" fontId="0" fillId="15" borderId="6" xfId="0" applyFill="1" applyBorder="1" applyAlignment="1">
      <alignment horizontal="center"/>
    </xf>
    <xf numFmtId="0" fontId="0" fillId="15" borderId="12" xfId="0" applyFill="1" applyBorder="1" applyAlignment="1">
      <alignment horizont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2" fillId="0" borderId="0" xfId="0" applyFont="1" applyAlignment="1">
      <alignment horizontal="left" vertical="top" wrapText="1"/>
    </xf>
    <xf numFmtId="0" fontId="9" fillId="3" borderId="0" xfId="0" applyFont="1" applyFill="1" applyAlignment="1">
      <alignment horizontal="center" vertical="center"/>
    </xf>
    <xf numFmtId="0" fontId="4" fillId="12" borderId="0" xfId="0" applyFont="1" applyFill="1" applyAlignment="1">
      <alignment vertical="center"/>
    </xf>
    <xf numFmtId="0" fontId="13" fillId="0" borderId="0" xfId="0" applyFont="1" applyAlignment="1">
      <alignment horizontal="left" vertical="center"/>
    </xf>
    <xf numFmtId="0" fontId="9" fillId="2" borderId="31" xfId="0" applyFont="1" applyFill="1" applyBorder="1" applyAlignment="1">
      <alignment horizontal="center" vertical="center"/>
    </xf>
    <xf numFmtId="0" fontId="1" fillId="3" borderId="0" xfId="0" applyFont="1" applyFill="1" applyAlignment="1">
      <alignment horizontal="center" vertical="center"/>
    </xf>
    <xf numFmtId="0" fontId="13" fillId="0" borderId="0" xfId="0" applyFont="1" applyAlignment="1">
      <alignment horizontal="left" vertical="top" wrapText="1"/>
    </xf>
  </cellXfs>
  <cellStyles count="11">
    <cellStyle name="20% - Accent4" xfId="3" builtinId="42"/>
    <cellStyle name="Comma" xfId="2" builtinId="3"/>
    <cellStyle name="Comma 2" xfId="8" xr:uid="{81E18099-6E49-499B-908F-0C4F1477275D}"/>
    <cellStyle name="Currency" xfId="5" builtinId="4"/>
    <cellStyle name="Currency 2" xfId="9" xr:uid="{D0D56013-062C-42DD-ACC8-C047DD9C5A72}"/>
    <cellStyle name="Explanatory Text" xfId="4" builtinId="53"/>
    <cellStyle name="Heading 3" xfId="7" builtinId="18"/>
    <cellStyle name="Hyperlink" xfId="10" builtinId="8"/>
    <cellStyle name="Normal" xfId="0" builtinId="0"/>
    <cellStyle name="Percent" xfId="1" builtinId="5"/>
    <cellStyle name="Title" xfId="6" builtinId="15"/>
  </cellStyles>
  <dxfs count="621">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color rgb="FFF8F8F8"/>
      </font>
      <fill>
        <patternFill>
          <bgColor rgb="FFF8F8F8"/>
        </patternFill>
      </fill>
    </dxf>
    <dxf>
      <font>
        <color rgb="FFF8F8F8"/>
      </font>
      <fill>
        <patternFill>
          <bgColor rgb="FFF8F8F8"/>
        </patternFill>
      </fill>
    </dxf>
    <dxf>
      <font>
        <color rgb="FFF8F8F8"/>
      </font>
      <fill>
        <patternFill>
          <bgColor rgb="FFF8F8F8"/>
        </patternFill>
      </fill>
    </dxf>
    <dxf>
      <font>
        <color rgb="FFF8F8F8"/>
      </font>
      <fill>
        <patternFill>
          <bgColor rgb="FFF8F8F8"/>
        </patternFill>
      </fill>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dxf>
    <dxf>
      <font>
        <strike/>
        <color theme="2" tint="-0.24994659260841701"/>
      </font>
    </dxf>
    <dxf>
      <font>
        <strike/>
        <color theme="2" tint="-0.24994659260841701"/>
      </font>
      <border>
        <vertical/>
        <horizontal/>
      </border>
    </dxf>
    <dxf>
      <font>
        <strike/>
        <color theme="2" tint="-0.24994659260841701"/>
      </font>
      <border>
        <vertical/>
        <horizontal/>
      </border>
    </dxf>
    <dxf>
      <fill>
        <patternFill>
          <bgColor rgb="FFFFABAB"/>
        </patternFill>
      </fill>
    </dxf>
    <dxf>
      <fill>
        <patternFill patternType="lightUp">
          <bgColor rgb="FFE6E7E8"/>
        </patternFill>
      </fill>
    </dxf>
    <dxf>
      <fill>
        <patternFill patternType="lightUp">
          <bgColor rgb="FFE6E7E8"/>
        </patternFill>
      </fill>
    </dxf>
    <dxf>
      <fill>
        <patternFill patternType="lightUp">
          <bgColor rgb="FFE6E7E8"/>
        </patternFill>
      </fill>
      <border>
        <vertical/>
        <horizontal/>
      </border>
    </dxf>
    <dxf>
      <fill>
        <patternFill>
          <bgColor rgb="FFFFABAB"/>
        </patternFill>
      </fill>
    </dxf>
    <dxf>
      <fill>
        <patternFill patternType="lightUp">
          <bgColor rgb="FFE6E7E8"/>
        </patternFill>
      </fill>
    </dxf>
    <dxf>
      <fill>
        <patternFill patternType="lightUp">
          <bgColor rgb="FFE6E7E8"/>
        </patternFill>
      </fill>
    </dxf>
    <dxf>
      <fill>
        <patternFill patternType="lightUp">
          <bgColor rgb="FFE6E7E8"/>
        </patternFill>
      </fill>
    </dxf>
    <dxf>
      <fill>
        <patternFill patternType="lightUp">
          <bgColor rgb="FFE6E7E8"/>
        </patternFill>
      </fill>
    </dxf>
    <dxf>
      <fill>
        <patternFill patternType="lightUp">
          <bgColor rgb="FFE6E7E8"/>
        </patternFill>
      </fill>
    </dxf>
    <dxf>
      <fill>
        <patternFill patternType="lightUp">
          <bgColor rgb="FFE6E7E8"/>
        </patternFill>
      </fill>
    </dxf>
    <dxf>
      <fill>
        <patternFill patternType="lightUp">
          <bgColor rgb="FFE6E7E8"/>
        </patternFill>
      </fill>
    </dxf>
    <dxf>
      <font>
        <color auto="1"/>
      </font>
      <fill>
        <patternFill patternType="lightUp">
          <bgColor rgb="FFE6E7E8"/>
        </patternFill>
      </fill>
    </dxf>
    <dxf>
      <fill>
        <patternFill patternType="lightUp">
          <bgColor rgb="FFE6E7E8"/>
        </patternFill>
      </fill>
    </dxf>
    <dxf>
      <font>
        <color auto="1"/>
      </font>
      <fill>
        <patternFill patternType="lightUp">
          <bgColor rgb="FFE6E7E8"/>
        </patternFill>
      </fill>
    </dxf>
    <dxf>
      <fill>
        <patternFill>
          <bgColor rgb="FFFFABAB"/>
        </patternFill>
      </fill>
    </dxf>
    <dxf>
      <fill>
        <patternFill>
          <bgColor rgb="FFFFABAB"/>
        </patternFill>
      </fill>
    </dxf>
    <dxf>
      <border>
        <bottom style="thin">
          <color auto="1"/>
        </bottom>
        <vertical/>
        <horizontal/>
      </border>
    </dxf>
    <dxf>
      <border>
        <bottom style="hair">
          <color auto="1"/>
        </bottom>
        <vertical/>
        <horizontal/>
      </border>
    </dxf>
    <dxf>
      <border>
        <top style="hair">
          <color auto="1"/>
        </top>
        <vertical/>
        <horizontal/>
      </border>
    </dxf>
    <dxf>
      <border>
        <bottom style="thin">
          <color auto="1"/>
        </bottom>
        <vertical/>
        <horizontal/>
      </border>
    </dxf>
    <dxf>
      <border>
        <top style="thin">
          <color auto="1"/>
        </top>
        <vertical/>
        <horizontal/>
      </border>
    </dxf>
    <dxf>
      <border>
        <top style="thin">
          <color auto="1"/>
        </top>
        <vertical/>
        <horizontal/>
      </border>
    </dxf>
    <dxf>
      <border>
        <bottom style="thin">
          <color auto="1"/>
        </bottom>
        <vertical/>
        <horizontal/>
      </border>
    </dxf>
    <dxf>
      <font>
        <color auto="1"/>
      </font>
      <fill>
        <patternFill>
          <bgColor theme="5" tint="0.59996337778862885"/>
        </patternFill>
      </fill>
      <border>
        <left style="hair">
          <color auto="1"/>
        </left>
        <right style="thin">
          <color auto="1"/>
        </right>
        <top/>
        <bottom/>
      </border>
    </dxf>
    <dxf>
      <border>
        <top style="thin">
          <color auto="1"/>
        </top>
        <bottom/>
        <vertical/>
        <horizontal/>
      </border>
    </dxf>
    <dxf>
      <font>
        <color auto="1"/>
      </font>
      <fill>
        <patternFill patternType="solid">
          <bgColor rgb="FF00A7D3"/>
        </patternFill>
      </fill>
    </dxf>
    <dxf>
      <fill>
        <patternFill>
          <bgColor rgb="FFE7E6E6"/>
        </patternFill>
      </fill>
      <border>
        <left style="thin">
          <color auto="1"/>
        </left>
        <right/>
        <top/>
        <bottom/>
      </border>
    </dxf>
    <dxf>
      <font>
        <color rgb="FF00A7D3"/>
      </font>
    </dxf>
    <dxf>
      <fill>
        <patternFill>
          <bgColor rgb="FFFFABAB"/>
        </patternFill>
      </fill>
    </dxf>
    <dxf>
      <fill>
        <patternFill>
          <bgColor rgb="FFFFABAB"/>
        </patternFill>
      </fill>
    </dxf>
    <dxf>
      <border>
        <bottom style="thin">
          <color auto="1"/>
        </bottom>
        <vertical/>
        <horizontal/>
      </border>
    </dxf>
    <dxf>
      <font>
        <color rgb="FFE7E6E6"/>
      </font>
      <fill>
        <patternFill>
          <bgColor rgb="FFE7E6E6"/>
        </patternFill>
      </fill>
      <border>
        <left/>
        <right/>
        <top/>
        <bottom/>
      </border>
    </dxf>
    <dxf>
      <font>
        <color rgb="FFE7E6E6"/>
      </font>
      <fill>
        <patternFill>
          <bgColor rgb="FFE7E6E6"/>
        </patternFill>
      </fill>
      <border>
        <left/>
        <right/>
        <top/>
        <bottom/>
        <vertical/>
        <horizontal/>
      </border>
    </dxf>
    <dxf>
      <font>
        <color rgb="FFE6E7E8"/>
      </font>
    </dxf>
    <dxf>
      <fill>
        <patternFill>
          <bgColor rgb="FFFFABAB"/>
        </patternFill>
      </fill>
    </dxf>
    <dxf>
      <fill>
        <patternFill>
          <bgColor rgb="FFFFABAB"/>
        </patternFill>
      </fill>
    </dxf>
    <dxf>
      <border>
        <bottom style="thin">
          <color auto="1"/>
        </bottom>
        <vertical/>
        <horizontal/>
      </border>
    </dxf>
    <dxf>
      <border>
        <bottom style="hair">
          <color auto="1"/>
        </bottom>
        <vertical/>
        <horizontal/>
      </border>
    </dxf>
    <dxf>
      <border>
        <top style="hair">
          <color auto="1"/>
        </top>
        <vertical/>
        <horizontal/>
      </border>
    </dxf>
    <dxf>
      <border>
        <bottom style="thin">
          <color auto="1"/>
        </bottom>
        <vertical/>
        <horizontal/>
      </border>
    </dxf>
    <dxf>
      <border>
        <top style="thin">
          <color auto="1"/>
        </top>
        <vertical/>
        <horizontal/>
      </border>
    </dxf>
    <dxf>
      <border>
        <top style="thin">
          <color auto="1"/>
        </top>
        <vertical/>
        <horizontal/>
      </border>
    </dxf>
    <dxf>
      <border>
        <bottom style="thin">
          <color auto="1"/>
        </bottom>
        <vertical/>
        <horizontal/>
      </border>
    </dxf>
    <dxf>
      <font>
        <color auto="1"/>
      </font>
      <fill>
        <patternFill>
          <bgColor theme="5" tint="0.59996337778862885"/>
        </patternFill>
      </fill>
      <border>
        <left style="hair">
          <color auto="1"/>
        </left>
        <right style="thin">
          <color auto="1"/>
        </right>
        <top/>
        <bottom/>
      </border>
    </dxf>
    <dxf>
      <border>
        <top style="thin">
          <color auto="1"/>
        </top>
        <bottom/>
        <vertical/>
        <horizontal/>
      </border>
    </dxf>
    <dxf>
      <font>
        <color auto="1"/>
      </font>
      <fill>
        <patternFill patternType="solid">
          <bgColor rgb="FF00A7D3"/>
        </patternFill>
      </fill>
    </dxf>
    <dxf>
      <fill>
        <patternFill>
          <bgColor rgb="FFE7E6E6"/>
        </patternFill>
      </fill>
      <border>
        <left style="thin">
          <color auto="1"/>
        </left>
        <right/>
        <top/>
        <bottom/>
      </border>
    </dxf>
    <dxf>
      <font>
        <color rgb="FF00A7D3"/>
      </font>
    </dxf>
    <dxf>
      <fill>
        <patternFill>
          <bgColor rgb="FFFFABAB"/>
        </patternFill>
      </fill>
    </dxf>
    <dxf>
      <fill>
        <patternFill>
          <bgColor rgb="FFFFABAB"/>
        </patternFill>
      </fill>
    </dxf>
    <dxf>
      <font>
        <color rgb="FFE6E7E8"/>
      </font>
      <fill>
        <patternFill>
          <bgColor rgb="FFE6E7E8"/>
        </patternFill>
      </fill>
      <border>
        <left/>
        <right/>
        <top style="thin">
          <color auto="1"/>
        </top>
        <bottom style="thin">
          <color auto="1"/>
        </bottom>
        <vertical/>
        <horizontal/>
      </border>
    </dxf>
    <dxf>
      <border>
        <bottom style="thin">
          <color auto="1"/>
        </bottom>
        <vertical/>
        <horizontal/>
      </border>
    </dxf>
    <dxf>
      <font>
        <color rgb="FFE6E7E8"/>
      </font>
      <fill>
        <patternFill>
          <bgColor rgb="FFE6E7E8"/>
        </patternFill>
      </fill>
      <border>
        <left/>
        <right/>
        <top/>
        <bottom/>
      </border>
    </dxf>
    <dxf>
      <font>
        <color rgb="FFE6E7E8"/>
      </font>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ill>
        <patternFill>
          <bgColor rgb="FFFFABAB"/>
        </patternFill>
      </fill>
    </dxf>
    <dxf>
      <fill>
        <patternFill patternType="lightUp">
          <bgColor rgb="FFE6E7E8"/>
        </patternFill>
      </fill>
    </dxf>
    <dxf>
      <fill>
        <patternFill patternType="lightUp">
          <bgColor rgb="FFE6E7E8"/>
        </patternFill>
      </fill>
    </dxf>
    <dxf>
      <fill>
        <patternFill patternType="lightUp">
          <bgColor rgb="FFE6E7E8"/>
        </patternFill>
      </fill>
      <border>
        <vertical/>
        <horizontal/>
      </border>
    </dxf>
    <dxf>
      <fill>
        <patternFill>
          <bgColor rgb="FFFFABAB"/>
        </patternFill>
      </fill>
    </dxf>
    <dxf>
      <fill>
        <patternFill patternType="lightUp">
          <bgColor rgb="FFE6E7E8"/>
        </patternFill>
      </fill>
    </dxf>
    <dxf>
      <fill>
        <patternFill patternType="lightUp">
          <bgColor rgb="FFE6E7E8"/>
        </patternFill>
      </fill>
    </dxf>
    <dxf>
      <fill>
        <patternFill patternType="lightUp">
          <bgColor rgb="FFE6E7E8"/>
        </patternFill>
      </fill>
    </dxf>
    <dxf>
      <fill>
        <patternFill patternType="lightUp">
          <bgColor rgb="FFE6E7E8"/>
        </patternFill>
      </fill>
    </dxf>
    <dxf>
      <fill>
        <patternFill patternType="lightUp">
          <bgColor rgb="FFE6E7E8"/>
        </patternFill>
      </fill>
    </dxf>
    <dxf>
      <fill>
        <patternFill patternType="lightUp">
          <bgColor rgb="FFE6E7E8"/>
        </patternFill>
      </fill>
    </dxf>
    <dxf>
      <fill>
        <patternFill patternType="lightUp">
          <bgColor rgb="FFE6E7E8"/>
        </patternFill>
      </fill>
    </dxf>
    <dxf>
      <font>
        <color auto="1"/>
      </font>
      <fill>
        <patternFill patternType="lightUp">
          <bgColor rgb="FFE6E7E8"/>
        </patternFill>
      </fill>
    </dxf>
    <dxf>
      <fill>
        <patternFill patternType="lightUp">
          <bgColor rgb="FFE6E7E8"/>
        </patternFill>
      </fill>
    </dxf>
    <dxf>
      <font>
        <color auto="1"/>
      </font>
      <fill>
        <patternFill patternType="lightUp">
          <bgColor rgb="FFE6E7E8"/>
        </patternFill>
      </fill>
    </dxf>
    <dxf>
      <font>
        <color rgb="FF00A7D3"/>
      </font>
    </dxf>
    <dxf>
      <font>
        <color rgb="FFE6E7E8"/>
      </font>
      <fill>
        <patternFill>
          <bgColor rgb="FFE6E7E8"/>
        </patternFill>
      </fill>
      <border>
        <left/>
        <right/>
        <top/>
      </border>
    </dxf>
    <dxf>
      <fill>
        <patternFill>
          <bgColor rgb="FFFFABAB"/>
        </patternFill>
      </fill>
    </dxf>
    <dxf>
      <border>
        <bottom style="thin">
          <color auto="1"/>
        </bottom>
        <vertical/>
        <horizontal/>
      </border>
    </dxf>
    <dxf>
      <border>
        <bottom style="hair">
          <color auto="1"/>
        </bottom>
        <vertical/>
        <horizontal/>
      </border>
    </dxf>
    <dxf>
      <border>
        <top style="hair">
          <color auto="1"/>
        </top>
        <vertical/>
        <horizontal/>
      </border>
    </dxf>
    <dxf>
      <border>
        <bottom style="thin">
          <color auto="1"/>
        </bottom>
        <vertical/>
        <horizontal/>
      </border>
    </dxf>
    <dxf>
      <border>
        <top style="thin">
          <color auto="1"/>
        </top>
        <vertical/>
        <horizontal/>
      </border>
    </dxf>
    <dxf>
      <border>
        <top style="thin">
          <color auto="1"/>
        </top>
        <vertical/>
        <horizontal/>
      </border>
    </dxf>
    <dxf>
      <border>
        <bottom style="thin">
          <color auto="1"/>
        </bottom>
        <vertical/>
        <horizontal/>
      </border>
    </dxf>
    <dxf>
      <font>
        <color auto="1"/>
      </font>
      <fill>
        <patternFill>
          <bgColor theme="5" tint="0.59996337778862885"/>
        </patternFill>
      </fill>
      <border>
        <left style="hair">
          <color auto="1"/>
        </left>
        <right style="thin">
          <color auto="1"/>
        </right>
        <top/>
        <bottom/>
      </border>
    </dxf>
    <dxf>
      <border>
        <top style="thin">
          <color auto="1"/>
        </top>
        <bottom/>
        <vertical/>
        <horizontal/>
      </border>
    </dxf>
    <dxf>
      <font>
        <color auto="1"/>
      </font>
      <fill>
        <patternFill patternType="solid">
          <bgColor rgb="FF00A7D3"/>
        </patternFill>
      </fill>
    </dxf>
    <dxf>
      <fill>
        <patternFill>
          <bgColor rgb="FFE7E6E6"/>
        </patternFill>
      </fill>
      <border>
        <left style="thin">
          <color auto="1"/>
        </left>
        <right/>
        <top/>
        <bottom/>
      </border>
    </dxf>
    <dxf>
      <font>
        <color rgb="FF00A7D3"/>
      </font>
    </dxf>
    <dxf>
      <fill>
        <patternFill>
          <bgColor rgb="FFFFABAB"/>
        </patternFill>
      </fill>
    </dxf>
    <dxf>
      <fill>
        <patternFill>
          <bgColor rgb="FFFFABAB"/>
        </patternFill>
      </fill>
    </dxf>
    <dxf>
      <font>
        <color rgb="FFE6E7E8"/>
      </font>
      <fill>
        <patternFill>
          <bgColor rgb="FFE6E7E8"/>
        </patternFill>
      </fill>
      <border>
        <left/>
        <right/>
        <top/>
        <bottom/>
        <vertical/>
        <horizontal/>
      </border>
    </dxf>
    <dxf>
      <font>
        <color rgb="FFE6E7E8"/>
      </font>
      <fill>
        <patternFill>
          <bgColor rgb="FFE6E7E8"/>
        </patternFill>
      </fill>
      <border>
        <left/>
        <right/>
        <top/>
        <bottom/>
      </border>
    </dxf>
    <dxf>
      <border>
        <top style="thin">
          <color auto="1"/>
        </top>
        <vertical/>
        <horizontal/>
      </border>
    </dxf>
    <dxf>
      <font>
        <color rgb="FFE6E7E8"/>
      </font>
      <fill>
        <patternFill>
          <bgColor rgb="FFE6E7E8"/>
        </patternFill>
      </fill>
      <border>
        <left/>
        <right/>
        <top style="thin">
          <color auto="1"/>
        </top>
        <bottom/>
        <vertical/>
        <horizontal/>
      </border>
    </dxf>
    <dxf>
      <font>
        <color rgb="FFE6E7E8"/>
      </font>
    </dxf>
    <dxf>
      <font>
        <color rgb="FFE7E6E6"/>
      </font>
    </dxf>
    <dxf>
      <font>
        <color rgb="FFE7E6E6"/>
      </font>
    </dxf>
    <dxf>
      <font>
        <color rgb="FF00A7D3"/>
      </font>
    </dxf>
    <dxf>
      <font>
        <color rgb="FFE6E7E8"/>
      </font>
      <fill>
        <patternFill>
          <bgColor rgb="FFE6E7E8"/>
        </patternFill>
      </fill>
      <border>
        <left/>
        <right/>
        <top/>
      </border>
    </dxf>
    <dxf>
      <fill>
        <patternFill>
          <bgColor rgb="FFFFABAB"/>
        </patternFill>
      </fill>
    </dxf>
    <dxf>
      <border>
        <bottom style="thin">
          <color auto="1"/>
        </bottom>
        <vertical/>
        <horizontal/>
      </border>
    </dxf>
    <dxf>
      <border>
        <bottom style="hair">
          <color auto="1"/>
        </bottom>
        <vertical/>
        <horizontal/>
      </border>
    </dxf>
    <dxf>
      <border>
        <top style="hair">
          <color auto="1"/>
        </top>
        <vertical/>
        <horizontal/>
      </border>
    </dxf>
    <dxf>
      <border>
        <bottom style="thin">
          <color auto="1"/>
        </bottom>
        <vertical/>
        <horizontal/>
      </border>
    </dxf>
    <dxf>
      <border>
        <top style="thin">
          <color auto="1"/>
        </top>
        <vertical/>
        <horizontal/>
      </border>
    </dxf>
    <dxf>
      <border>
        <top style="thin">
          <color auto="1"/>
        </top>
        <vertical/>
        <horizontal/>
      </border>
    </dxf>
    <dxf>
      <border>
        <bottom style="thin">
          <color auto="1"/>
        </bottom>
        <vertical/>
        <horizontal/>
      </border>
    </dxf>
    <dxf>
      <font>
        <color auto="1"/>
      </font>
      <fill>
        <patternFill>
          <bgColor theme="5" tint="0.59996337778862885"/>
        </patternFill>
      </fill>
      <border>
        <left style="hair">
          <color auto="1"/>
        </left>
        <right style="thin">
          <color auto="1"/>
        </right>
        <top/>
        <bottom/>
      </border>
    </dxf>
    <dxf>
      <border>
        <top style="thin">
          <color auto="1"/>
        </top>
        <bottom/>
        <vertical/>
        <horizontal/>
      </border>
    </dxf>
    <dxf>
      <font>
        <color auto="1"/>
      </font>
      <fill>
        <patternFill patternType="solid">
          <bgColor rgb="FF00A7D3"/>
        </patternFill>
      </fill>
    </dxf>
    <dxf>
      <fill>
        <patternFill>
          <bgColor rgb="FFE7E6E6"/>
        </patternFill>
      </fill>
      <border>
        <left style="thin">
          <color auto="1"/>
        </left>
        <right/>
        <top/>
        <bottom/>
      </border>
    </dxf>
    <dxf>
      <font>
        <color rgb="FF00A7D3"/>
      </font>
    </dxf>
    <dxf>
      <fill>
        <patternFill>
          <bgColor rgb="FFFFABAB"/>
        </patternFill>
      </fill>
    </dxf>
    <dxf>
      <font>
        <color rgb="FFE6E7E8"/>
      </font>
      <fill>
        <patternFill>
          <bgColor rgb="FFE6E7E8"/>
        </patternFill>
      </fill>
      <border>
        <left/>
        <right/>
        <top/>
        <bottom/>
        <vertical/>
        <horizontal/>
      </border>
    </dxf>
    <dxf>
      <font>
        <color rgb="FFE6E7E8"/>
      </font>
      <fill>
        <patternFill>
          <bgColor rgb="FFE6E7E8"/>
        </patternFill>
      </fill>
      <border>
        <left/>
        <right/>
        <top/>
        <bottom/>
      </border>
    </dxf>
    <dxf>
      <border>
        <top style="thin">
          <color auto="1"/>
        </top>
        <vertical/>
        <horizontal/>
      </border>
    </dxf>
    <dxf>
      <font>
        <color rgb="FFE6E7E8"/>
      </font>
      <fill>
        <patternFill>
          <bgColor rgb="FFE6E7E8"/>
        </patternFill>
      </fill>
      <border>
        <left/>
        <right/>
        <top style="thin">
          <color auto="1"/>
        </top>
        <bottom/>
        <vertical/>
        <horizontal/>
      </border>
    </dxf>
    <dxf>
      <font>
        <color rgb="FFE6E7E8"/>
      </font>
    </dxf>
    <dxf>
      <font>
        <color rgb="FFE7E6E6"/>
      </font>
    </dxf>
    <dxf>
      <font>
        <color rgb="FFE7E6E6"/>
      </font>
    </dxf>
    <dxf>
      <font>
        <color rgb="FF00A7D3"/>
      </font>
    </dxf>
    <dxf>
      <font>
        <color rgb="FFE6E7E8"/>
      </font>
      <fill>
        <patternFill>
          <bgColor rgb="FFE6E7E8"/>
        </patternFill>
      </fill>
      <border>
        <left/>
        <right/>
        <top/>
      </border>
    </dxf>
    <dxf>
      <fill>
        <patternFill>
          <bgColor rgb="FFFFABAB"/>
        </patternFill>
      </fill>
    </dxf>
    <dxf>
      <border>
        <bottom style="thin">
          <color auto="1"/>
        </bottom>
        <vertical/>
        <horizontal/>
      </border>
    </dxf>
    <dxf>
      <border>
        <bottom style="hair">
          <color auto="1"/>
        </bottom>
        <vertical/>
        <horizontal/>
      </border>
    </dxf>
    <dxf>
      <border>
        <top style="hair">
          <color auto="1"/>
        </top>
        <vertical/>
        <horizontal/>
      </border>
    </dxf>
    <dxf>
      <border>
        <bottom style="thin">
          <color auto="1"/>
        </bottom>
        <vertical/>
        <horizontal/>
      </border>
    </dxf>
    <dxf>
      <border>
        <top style="thin">
          <color auto="1"/>
        </top>
        <vertical/>
        <horizontal/>
      </border>
    </dxf>
    <dxf>
      <border>
        <top style="thin">
          <color auto="1"/>
        </top>
        <vertical/>
        <horizontal/>
      </border>
    </dxf>
    <dxf>
      <border>
        <bottom style="thin">
          <color auto="1"/>
        </bottom>
        <vertical/>
        <horizontal/>
      </border>
    </dxf>
    <dxf>
      <font>
        <color auto="1"/>
      </font>
      <fill>
        <patternFill>
          <bgColor theme="5" tint="0.59996337778862885"/>
        </patternFill>
      </fill>
      <border>
        <left style="hair">
          <color auto="1"/>
        </left>
        <right style="thin">
          <color auto="1"/>
        </right>
        <top/>
        <bottom/>
      </border>
    </dxf>
    <dxf>
      <border>
        <top style="thin">
          <color auto="1"/>
        </top>
        <bottom/>
        <vertical/>
        <horizontal/>
      </border>
    </dxf>
    <dxf>
      <font>
        <color auto="1"/>
      </font>
      <fill>
        <patternFill patternType="solid">
          <bgColor rgb="FF00A7D3"/>
        </patternFill>
      </fill>
    </dxf>
    <dxf>
      <fill>
        <patternFill>
          <bgColor rgb="FFE7E6E6"/>
        </patternFill>
      </fill>
      <border>
        <left style="thin">
          <color auto="1"/>
        </left>
        <right/>
        <top/>
        <bottom/>
      </border>
    </dxf>
    <dxf>
      <font>
        <color rgb="FF00A7D3"/>
      </font>
    </dxf>
    <dxf>
      <fill>
        <patternFill>
          <bgColor rgb="FFFFABAB"/>
        </patternFill>
      </fill>
    </dxf>
    <dxf>
      <font>
        <color rgb="FFE6E7E8"/>
      </font>
      <fill>
        <patternFill>
          <bgColor rgb="FFE6E7E8"/>
        </patternFill>
      </fill>
      <border>
        <left/>
        <right/>
        <top/>
        <bottom/>
        <vertical/>
        <horizontal/>
      </border>
    </dxf>
    <dxf>
      <font>
        <color rgb="FFE6E7E8"/>
      </font>
      <fill>
        <patternFill>
          <bgColor rgb="FFE6E7E8"/>
        </patternFill>
      </fill>
      <border>
        <left/>
        <right/>
        <top/>
        <bottom/>
      </border>
    </dxf>
    <dxf>
      <border>
        <top style="thin">
          <color auto="1"/>
        </top>
        <vertical/>
        <horizontal/>
      </border>
    </dxf>
    <dxf>
      <font>
        <color rgb="FFE6E7E8"/>
      </font>
      <fill>
        <patternFill>
          <bgColor rgb="FFE6E7E8"/>
        </patternFill>
      </fill>
      <border>
        <left/>
        <right/>
        <top style="thin">
          <color auto="1"/>
        </top>
        <bottom/>
        <vertical/>
        <horizontal/>
      </border>
    </dxf>
    <dxf>
      <font>
        <color rgb="FFE6E7E8"/>
      </font>
    </dxf>
    <dxf>
      <font>
        <color rgb="FFE7E6E6"/>
      </font>
    </dxf>
    <dxf>
      <font>
        <color rgb="FFE7E6E6"/>
      </font>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ont>
        <strike/>
        <color theme="2" tint="-0.24994659260841701"/>
      </font>
      <border>
        <vertical/>
        <horizontal/>
      </border>
    </dxf>
    <dxf>
      <fill>
        <patternFill>
          <bgColor rgb="FFFFABAB"/>
        </patternFill>
      </fill>
    </dxf>
    <dxf>
      <fill>
        <patternFill patternType="lightUp">
          <bgColor rgb="FFE6E7E8"/>
        </patternFill>
      </fill>
    </dxf>
    <dxf>
      <fill>
        <patternFill patternType="lightUp">
          <bgColor rgb="FFE6E7E8"/>
        </patternFill>
      </fill>
    </dxf>
    <dxf>
      <fill>
        <patternFill patternType="lightUp">
          <bgColor rgb="FFE6E7E8"/>
        </patternFill>
      </fill>
      <border>
        <vertical/>
        <horizontal/>
      </border>
    </dxf>
    <dxf>
      <fill>
        <patternFill patternType="lightUp">
          <fgColor auto="1"/>
          <bgColor theme="2"/>
        </patternFill>
      </fill>
    </dxf>
    <dxf>
      <fill>
        <patternFill>
          <bgColor rgb="FFFFABAB"/>
        </patternFill>
      </fill>
    </dxf>
    <dxf>
      <fill>
        <patternFill patternType="lightUp">
          <bgColor rgb="FFE6E7E8"/>
        </patternFill>
      </fill>
      <border>
        <vertical/>
        <horizontal/>
      </border>
    </dxf>
    <dxf>
      <fill>
        <patternFill patternType="lightUp">
          <bgColor rgb="FFE6E7E8"/>
        </patternFill>
      </fill>
    </dxf>
    <dxf>
      <fill>
        <patternFill patternType="lightUp">
          <bgColor rgb="FFE6E7E8"/>
        </patternFill>
      </fill>
    </dxf>
    <dxf>
      <fill>
        <patternFill patternType="lightUp">
          <bgColor theme="2"/>
        </patternFill>
      </fill>
    </dxf>
    <dxf>
      <fill>
        <patternFill patternType="lightUp">
          <bgColor rgb="FFE6E7E8"/>
        </patternFill>
      </fill>
    </dxf>
    <dxf>
      <fill>
        <patternFill patternType="lightUp">
          <fgColor auto="1"/>
          <bgColor theme="2"/>
        </patternFill>
      </fill>
    </dxf>
    <dxf>
      <fill>
        <patternFill patternType="lightUp">
          <bgColor rgb="FFE6E7E8"/>
        </patternFill>
      </fill>
      <border>
        <vertical/>
        <horizontal/>
      </border>
    </dxf>
    <dxf>
      <fill>
        <patternFill patternType="lightUp">
          <bgColor rgb="FFE6E7E8"/>
        </patternFill>
      </fill>
    </dxf>
    <dxf>
      <fill>
        <patternFill patternType="lightUp">
          <bgColor theme="2"/>
        </patternFill>
      </fill>
    </dxf>
    <dxf>
      <fill>
        <patternFill patternType="lightUp">
          <bgColor rgb="FFE6E7E8"/>
        </patternFill>
      </fill>
    </dxf>
    <dxf>
      <fill>
        <patternFill patternType="lightUp">
          <bgColor rgb="FFE6E7E8"/>
        </patternFill>
      </fill>
    </dxf>
    <dxf>
      <font>
        <color auto="1"/>
      </font>
      <fill>
        <patternFill patternType="lightUp">
          <bgColor rgb="FFE6E7E8"/>
        </patternFill>
      </fill>
    </dxf>
    <dxf>
      <font>
        <color auto="1"/>
      </font>
      <fill>
        <patternFill patternType="lightUp">
          <bgColor rgb="FFE6E7E8"/>
        </patternFill>
      </fill>
    </dxf>
    <dxf>
      <font>
        <color rgb="FFE7E6E6"/>
      </font>
      <fill>
        <patternFill>
          <bgColor rgb="FFE7E6E6"/>
        </patternFill>
      </fill>
      <border>
        <left style="thin">
          <color auto="1"/>
        </left>
      </border>
    </dxf>
    <dxf>
      <border>
        <left style="hair">
          <color auto="1"/>
        </left>
        <right style="thin">
          <color auto="1"/>
        </right>
        <top style="thin">
          <color auto="1"/>
        </top>
        <bottom style="thin">
          <color auto="1"/>
        </bottom>
        <vertical/>
        <horizontal/>
      </border>
    </dxf>
    <dxf>
      <font>
        <color rgb="FF00A7D3"/>
      </font>
    </dxf>
    <dxf>
      <fill>
        <patternFill>
          <bgColor rgb="FFFFABAB"/>
        </patternFill>
      </fill>
    </dxf>
    <dxf>
      <border>
        <bottom style="thin">
          <color auto="1"/>
        </bottom>
        <vertical/>
        <horizontal/>
      </border>
    </dxf>
    <dxf>
      <border>
        <bottom style="hair">
          <color auto="1"/>
        </bottom>
        <vertical/>
        <horizontal/>
      </border>
    </dxf>
    <dxf>
      <border>
        <top style="hair">
          <color auto="1"/>
        </top>
        <vertical/>
        <horizontal/>
      </border>
    </dxf>
    <dxf>
      <border>
        <bottom style="thin">
          <color auto="1"/>
        </bottom>
        <vertical/>
        <horizontal/>
      </border>
    </dxf>
    <dxf>
      <border>
        <top style="thin">
          <color auto="1"/>
        </top>
        <vertical/>
        <horizontal/>
      </border>
    </dxf>
    <dxf>
      <border>
        <top style="thin">
          <color auto="1"/>
        </top>
        <vertical/>
        <horizontal/>
      </border>
    </dxf>
    <dxf>
      <border>
        <bottom style="thin">
          <color auto="1"/>
        </bottom>
        <vertical/>
        <horizontal/>
      </border>
    </dxf>
    <dxf>
      <font>
        <color auto="1"/>
      </font>
      <fill>
        <patternFill>
          <bgColor theme="5" tint="0.59996337778862885"/>
        </patternFill>
      </fill>
      <border>
        <left style="hair">
          <color auto="1"/>
        </left>
        <right style="thin">
          <color auto="1"/>
        </right>
        <top/>
        <bottom/>
      </border>
    </dxf>
    <dxf>
      <border>
        <top style="thin">
          <color auto="1"/>
        </top>
        <bottom/>
        <vertical/>
        <horizontal/>
      </border>
    </dxf>
    <dxf>
      <font>
        <color auto="1"/>
      </font>
      <fill>
        <patternFill patternType="solid">
          <bgColor rgb="FF00A7D3"/>
        </patternFill>
      </fill>
    </dxf>
    <dxf>
      <fill>
        <patternFill>
          <bgColor rgb="FFE7E6E6"/>
        </patternFill>
      </fill>
      <border>
        <left style="thin">
          <color auto="1"/>
        </left>
        <right/>
        <top/>
        <bottom/>
      </border>
    </dxf>
    <dxf>
      <font>
        <color rgb="FF00A7D3"/>
      </font>
    </dxf>
    <dxf>
      <fill>
        <patternFill>
          <bgColor rgb="FFFFABAB"/>
        </patternFill>
      </fill>
    </dxf>
    <dxf>
      <fill>
        <patternFill>
          <bgColor rgb="FFFFABAB"/>
        </patternFill>
      </fill>
    </dxf>
    <dxf>
      <border>
        <left style="hair">
          <color auto="1"/>
        </left>
        <right style="thin">
          <color auto="1"/>
        </right>
        <top style="thin">
          <color auto="1"/>
        </top>
        <bottom style="thin">
          <color auto="1"/>
        </bottom>
        <vertical/>
        <horizontal/>
      </border>
    </dxf>
    <dxf>
      <font>
        <color rgb="FFE6E7E8"/>
      </font>
      <fill>
        <patternFill>
          <bgColor rgb="FFE6E7E8"/>
        </patternFill>
      </fill>
      <border>
        <left style="thin">
          <color auto="1"/>
        </left>
      </border>
    </dxf>
    <dxf>
      <font>
        <color rgb="FFE6E7E8"/>
      </font>
      <fill>
        <patternFill>
          <bgColor rgb="FFE6E7E8"/>
        </patternFill>
      </fill>
      <border>
        <left style="thin">
          <color auto="1"/>
        </left>
      </border>
    </dxf>
    <dxf>
      <font>
        <color rgb="FF00A7D3"/>
      </font>
    </dxf>
    <dxf>
      <font>
        <color rgb="FF00A7D3"/>
      </font>
    </dxf>
    <dxf>
      <fill>
        <patternFill>
          <bgColor rgb="FFFFABAB"/>
        </patternFill>
      </fill>
    </dxf>
    <dxf>
      <border>
        <bottom style="thin">
          <color auto="1"/>
        </bottom>
        <vertical/>
        <horizontal/>
      </border>
    </dxf>
    <dxf>
      <border>
        <bottom style="hair">
          <color auto="1"/>
        </bottom>
        <vertical/>
        <horizontal/>
      </border>
    </dxf>
    <dxf>
      <border>
        <top style="hair">
          <color auto="1"/>
        </top>
        <vertical/>
        <horizontal/>
      </border>
    </dxf>
    <dxf>
      <border>
        <bottom style="thin">
          <color auto="1"/>
        </bottom>
        <vertical/>
        <horizontal/>
      </border>
    </dxf>
    <dxf>
      <border>
        <top style="thin">
          <color auto="1"/>
        </top>
        <vertical/>
        <horizontal/>
      </border>
    </dxf>
    <dxf>
      <border>
        <top style="thin">
          <color auto="1"/>
        </top>
        <vertical/>
        <horizontal/>
      </border>
    </dxf>
    <dxf>
      <border>
        <bottom style="thin">
          <color auto="1"/>
        </bottom>
        <vertical/>
        <horizontal/>
      </border>
    </dxf>
    <dxf>
      <font>
        <color auto="1"/>
      </font>
      <fill>
        <patternFill>
          <bgColor theme="5" tint="0.59996337778862885"/>
        </patternFill>
      </fill>
      <border>
        <left style="hair">
          <color auto="1"/>
        </left>
        <right style="thin">
          <color auto="1"/>
        </right>
        <top/>
        <bottom/>
      </border>
    </dxf>
    <dxf>
      <border>
        <top style="thin">
          <color auto="1"/>
        </top>
        <bottom/>
        <vertical/>
        <horizontal/>
      </border>
    </dxf>
    <dxf>
      <font>
        <color auto="1"/>
      </font>
      <fill>
        <patternFill patternType="solid">
          <bgColor rgb="FF00A7D3"/>
        </patternFill>
      </fill>
    </dxf>
    <dxf>
      <fill>
        <patternFill>
          <bgColor rgb="FFE7E6E6"/>
        </patternFill>
      </fill>
      <border>
        <left style="thin">
          <color auto="1"/>
        </left>
        <right/>
        <top/>
        <bottom/>
      </border>
    </dxf>
    <dxf>
      <font>
        <color rgb="FF00A7D3"/>
      </font>
    </dxf>
    <dxf>
      <fill>
        <patternFill>
          <bgColor rgb="FFFFABAB"/>
        </patternFill>
      </fill>
    </dxf>
    <dxf>
      <fill>
        <patternFill>
          <bgColor rgb="FFFFABAB"/>
        </patternFill>
      </fill>
    </dxf>
    <dxf>
      <fill>
        <patternFill>
          <bgColor rgb="FFFFABAB"/>
        </patternFill>
      </fill>
    </dxf>
    <dxf>
      <border>
        <bottom style="thin">
          <color auto="1"/>
        </bottom>
        <vertical/>
        <horizontal/>
      </border>
    </dxf>
    <dxf>
      <border>
        <bottom style="hair">
          <color auto="1"/>
        </bottom>
        <vertical/>
        <horizontal/>
      </border>
    </dxf>
    <dxf>
      <border>
        <top style="hair">
          <color auto="1"/>
        </top>
        <vertical/>
        <horizontal/>
      </border>
    </dxf>
    <dxf>
      <border>
        <bottom style="thin">
          <color auto="1"/>
        </bottom>
        <vertical/>
        <horizontal/>
      </border>
    </dxf>
    <dxf>
      <border>
        <top style="thin">
          <color auto="1"/>
        </top>
        <vertical/>
        <horizontal/>
      </border>
    </dxf>
    <dxf>
      <border>
        <top style="thin">
          <color auto="1"/>
        </top>
        <vertical/>
        <horizontal/>
      </border>
    </dxf>
    <dxf>
      <border>
        <bottom style="thin">
          <color auto="1"/>
        </bottom>
        <vertical/>
        <horizontal/>
      </border>
    </dxf>
    <dxf>
      <font>
        <color auto="1"/>
      </font>
      <fill>
        <patternFill>
          <bgColor theme="5" tint="0.59996337778862885"/>
        </patternFill>
      </fill>
      <border>
        <left style="hair">
          <color auto="1"/>
        </left>
        <right style="thin">
          <color auto="1"/>
        </right>
        <top/>
        <bottom/>
      </border>
    </dxf>
    <dxf>
      <border>
        <top style="thin">
          <color auto="1"/>
        </top>
        <bottom/>
        <vertical/>
        <horizontal/>
      </border>
    </dxf>
    <dxf>
      <font>
        <color auto="1"/>
      </font>
      <fill>
        <patternFill patternType="solid">
          <bgColor rgb="FF00A7D3"/>
        </patternFill>
      </fill>
    </dxf>
    <dxf>
      <fill>
        <patternFill>
          <bgColor rgb="FFE7E6E6"/>
        </patternFill>
      </fill>
      <border>
        <left style="thin">
          <color auto="1"/>
        </left>
        <right/>
        <top/>
        <bottom/>
      </border>
    </dxf>
    <dxf>
      <font>
        <color rgb="FF00A7D3"/>
      </font>
    </dxf>
    <dxf>
      <fill>
        <patternFill>
          <bgColor rgb="FFFFABAB"/>
        </patternFill>
      </fill>
    </dxf>
    <dxf>
      <fill>
        <patternFill>
          <bgColor rgb="FFFFABAB"/>
        </patternFill>
      </fill>
    </dxf>
    <dxf>
      <fill>
        <patternFill>
          <bgColor rgb="FFFFABAB"/>
        </patternFill>
      </fill>
    </dxf>
    <dxf>
      <fill>
        <patternFill>
          <bgColor rgb="FFFFABAB"/>
        </patternFill>
      </fill>
    </dxf>
    <dxf>
      <fill>
        <patternFill>
          <bgColor rgb="FFFFABAB"/>
        </patternFill>
      </fill>
    </dxf>
    <dxf>
      <fill>
        <patternFill>
          <bgColor rgb="FFFFABAB"/>
        </patternFill>
      </fill>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protection locked="1" hidden="1"/>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protection locked="1" hidden="1"/>
    </dxf>
    <dxf>
      <protection locked="1" hidden="1"/>
    </dxf>
    <dxf>
      <font>
        <b/>
        <i val="0"/>
        <strike val="0"/>
        <condense val="0"/>
        <extend val="0"/>
        <outline val="0"/>
        <shadow val="0"/>
        <u val="none"/>
        <vertAlign val="baseline"/>
        <sz val="10"/>
        <color theme="0"/>
        <name val="Arial"/>
        <family val="2"/>
        <scheme val="none"/>
      </font>
      <fill>
        <patternFill patternType="solid">
          <fgColor theme="1"/>
          <bgColor theme="1"/>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dxf>
    <dxf>
      <font>
        <b/>
        <strike val="0"/>
        <outline val="0"/>
        <shadow val="0"/>
        <u val="none"/>
        <vertAlign val="baseline"/>
        <color theme="0"/>
        <name val="Arial"/>
        <family val="2"/>
        <scheme val="none"/>
      </font>
      <fill>
        <patternFill patternType="solid">
          <fgColor indexed="64"/>
          <bgColor theme="1"/>
        </patternFill>
      </fill>
    </dxf>
    <dxf>
      <font>
        <b val="0"/>
        <i val="0"/>
        <strike val="0"/>
        <condense val="0"/>
        <extend val="0"/>
        <outline val="0"/>
        <shadow val="0"/>
        <u val="none"/>
        <vertAlign val="baseline"/>
        <sz val="12"/>
        <color theme="1"/>
        <name val="Arial"/>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numFmt numFmtId="14" formatCode="0.0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strike val="0"/>
        <outline val="0"/>
        <shadow val="0"/>
        <u val="no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1"/>
          <bgColor theme="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left" vertical="center" textRotation="0" wrapText="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top style="thin">
          <color theme="1"/>
        </top>
      </border>
    </dxf>
    <dxf>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vertical="center" textRotation="0" indent="0" justifyLastLine="0" shrinkToFit="0" readingOrder="0"/>
    </dxf>
    <dxf>
      <font>
        <strike val="0"/>
        <outline val="0"/>
        <shadow val="0"/>
        <u val="none"/>
        <vertAlign val="baseline"/>
        <sz val="10"/>
        <name val="Arial"/>
        <family val="2"/>
        <scheme val="none"/>
      </font>
      <alignment horizontal="left" vertical="center" textRotation="0" wrapText="0" indent="0" justifyLastLine="0" shrinkToFit="0" readingOrder="0"/>
    </dxf>
    <dxf>
      <font>
        <strike val="0"/>
        <outline val="0"/>
        <shadow val="0"/>
        <u val="none"/>
        <vertAlign val="baseline"/>
        <sz val="10"/>
        <name val="Arial"/>
        <family val="2"/>
        <scheme val="none"/>
      </font>
      <alignment horizontal="left" vertical="center" textRotation="0" wrapText="0" indent="0" justifyLastLine="0" shrinkToFit="0" readingOrder="0"/>
    </dxf>
    <dxf>
      <font>
        <strike val="0"/>
        <outline val="0"/>
        <shadow val="0"/>
        <u val="none"/>
        <vertAlign val="baseline"/>
        <sz val="10"/>
        <name val="Arial"/>
        <family val="2"/>
        <scheme val="none"/>
      </font>
      <alignment horizontal="left" vertical="center" textRotation="0" wrapText="0" indent="0" justifyLastLine="0" shrinkToFit="0" readingOrder="0"/>
    </dxf>
    <dxf>
      <font>
        <strike val="0"/>
        <outline val="0"/>
        <shadow val="0"/>
        <u val="none"/>
        <vertAlign val="baseline"/>
        <sz val="10"/>
        <name val="Arial"/>
        <family val="2"/>
        <scheme val="none"/>
      </font>
      <alignment horizontal="left" vertical="center" textRotation="0" wrapText="0" indent="0" justifyLastLine="0" shrinkToFit="0" readingOrder="0"/>
    </dxf>
    <dxf>
      <font>
        <b/>
        <strike val="0"/>
        <outline val="0"/>
        <shadow val="0"/>
        <u val="none"/>
        <vertAlign val="baseline"/>
        <sz val="10"/>
        <color theme="0"/>
        <name val="Arial"/>
        <family val="2"/>
        <scheme val="none"/>
      </font>
      <fill>
        <patternFill patternType="solid">
          <fgColor indexed="64"/>
          <bgColor theme="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sz val="10"/>
        <name val="Arial"/>
        <family val="2"/>
        <scheme val="none"/>
      </font>
      <alignment vertical="center" textRotation="0" indent="0" justifyLastLine="0" shrinkToFit="0" readingOrder="0"/>
    </dxf>
    <dxf>
      <font>
        <b/>
        <strike val="0"/>
        <outline val="0"/>
        <shadow val="0"/>
        <u val="none"/>
        <vertAlign val="baseline"/>
        <sz val="10"/>
        <color theme="0"/>
        <name val="Arial"/>
        <family val="2"/>
        <scheme val="none"/>
      </font>
      <fill>
        <patternFill patternType="solid">
          <fgColor indexed="64"/>
          <bgColor theme="1"/>
        </patternFill>
      </fill>
      <alignment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theme="1"/>
        </left>
        <top style="thin">
          <color theme="1"/>
        </top>
      </border>
    </dxf>
    <dxf>
      <alignment horizontal="general"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vertical="center" textRotation="0" indent="0" justifyLastLine="0" shrinkToFit="0" readingOrder="0"/>
    </dxf>
    <dxf>
      <font>
        <strike val="0"/>
        <outline val="0"/>
        <shadow val="0"/>
        <u val="none"/>
        <vertAlign val="baseline"/>
        <sz val="12"/>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alignment vertical="center" textRotation="0" indent="0" justifyLastLine="0" shrinkToFit="0" readingOrder="0"/>
    </dxf>
    <dxf>
      <font>
        <b/>
        <strike val="0"/>
        <outline val="0"/>
        <shadow val="0"/>
        <u val="none"/>
        <vertAlign val="baseline"/>
        <sz val="10"/>
        <color theme="0"/>
        <name val="Arial"/>
        <family val="2"/>
        <scheme val="none"/>
      </font>
      <fill>
        <patternFill>
          <fgColor indexed="64"/>
          <bgColor theme="1"/>
        </patternFill>
      </fill>
      <alignment vertical="center" textRotation="0" indent="0" justifyLastLine="0" shrinkToFit="0" readingOrder="0"/>
    </dxf>
    <dxf>
      <font>
        <strike val="0"/>
        <outline val="0"/>
        <shadow val="0"/>
        <u val="none"/>
        <vertAlign val="baseline"/>
        <sz val="12"/>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alignment vertical="center" textRotation="0" indent="0" justifyLastLine="0" shrinkToFit="0" readingOrder="0"/>
    </dxf>
    <dxf>
      <font>
        <b/>
        <strike val="0"/>
        <outline val="0"/>
        <shadow val="0"/>
        <u val="none"/>
        <vertAlign val="baseline"/>
        <sz val="10"/>
        <color theme="0"/>
        <name val="Arial"/>
        <family val="2"/>
        <scheme val="none"/>
      </font>
      <fill>
        <patternFill patternType="solid">
          <fgColor indexed="64"/>
          <bgColor theme="1"/>
        </patternFill>
      </fill>
      <alignment vertical="center" textRotation="0" indent="0" justifyLastLine="0" shrinkToFit="0" readingOrder="0"/>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strike val="0"/>
        <outline val="0"/>
        <shadow val="0"/>
        <u val="none"/>
        <vertAlign val="baseline"/>
        <sz val="9"/>
        <color theme="1"/>
        <name val="Arial"/>
        <family val="2"/>
        <scheme val="none"/>
      </font>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5" formatCode="h:mm"/>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73" formatCode="0.000"/>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5" formatCode="_-* #,##0.00_-;\-* #,##0.00_-;_-* &quot;-&quot;??_-;_-@_-"/>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5" formatCode="_-* #,##0.00_-;\-* #,##0.00_-;_-* &quot;-&quot;??_-;_-@_-"/>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5" formatCode="_-* #,##0.00_-;\-* #,##0.00_-;_-* &quot;-&quot;??_-;_-@_-"/>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theme="1"/>
        </patternFill>
      </fill>
      <alignment horizontal="general" vertical="center" textRotation="0" wrapText="0" indent="0" justifyLastLine="0" shrinkToFit="0" readingOrder="0"/>
    </dxf>
    <dxf>
      <protection locked="1" hidden="0"/>
    </dxf>
    <dxf>
      <protection locked="1" hidden="0"/>
    </dxf>
    <dxf>
      <protection locked="1" hidden="0"/>
    </dxf>
    <dxf>
      <protection locked="1" hidden="0"/>
    </dxf>
    <dxf>
      <border outline="0">
        <left style="thin">
          <color indexed="64"/>
        </left>
        <right style="thin">
          <color indexed="64"/>
        </right>
        <top style="thin">
          <color indexed="64"/>
        </top>
        <bottom style="thin">
          <color indexed="64"/>
        </bottom>
      </border>
    </dxf>
    <dxf>
      <protection locked="1" hidden="0"/>
    </dxf>
    <dxf>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numFmt numFmtId="35" formatCode="_-* #,##0.00_-;\-* #,##0.00_-;_-* &quot;-&quot;??_-;_-@_-"/>
      <protection locked="1" hidden="0"/>
    </dxf>
    <dxf>
      <font>
        <b val="0"/>
        <i val="0"/>
        <strike val="0"/>
        <condense val="0"/>
        <extend val="0"/>
        <outline val="0"/>
        <shadow val="0"/>
        <u val="none"/>
        <vertAlign val="baseline"/>
        <sz val="12"/>
        <color theme="1"/>
        <name val="Arial"/>
        <family val="2"/>
        <scheme val="none"/>
      </font>
      <numFmt numFmtId="0" formatCode="General"/>
      <alignment horizontal="general" vertical="center" textRotation="0" wrapText="0" indent="0" justifyLastLine="0" shrinkToFit="0" readingOrder="0"/>
      <protection locked="1" hidden="0"/>
    </dxf>
    <dxf>
      <protection locked="1" hidden="0"/>
    </dxf>
    <dxf>
      <protection locked="1" hidden="0"/>
    </dxf>
    <dxf>
      <border outline="0">
        <top style="thin">
          <color theme="4" tint="0.39997558519241921"/>
        </top>
      </border>
    </dxf>
    <dxf>
      <protection locked="1" hidden="0"/>
    </dxf>
    <dxf>
      <border outline="0">
        <bottom style="thin">
          <color theme="4" tint="0.39997558519241921"/>
        </bottom>
      </border>
    </dxf>
    <dxf>
      <font>
        <b/>
        <i val="0"/>
        <strike val="0"/>
        <condense val="0"/>
        <extend val="0"/>
        <outline val="0"/>
        <shadow val="0"/>
        <u val="none"/>
        <vertAlign val="baseline"/>
        <sz val="12"/>
        <color theme="0"/>
        <name val="Arial"/>
        <family val="2"/>
        <scheme val="none"/>
      </font>
      <numFmt numFmtId="35" formatCode="_-* #,##0.00_-;\-* #,##0.00_-;_-* &quot;-&quot;??_-;_-@_-"/>
      <fill>
        <patternFill patternType="solid">
          <fgColor indexed="64"/>
          <bgColor theme="1"/>
        </patternFill>
      </fill>
      <alignment horizontal="general"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protection locked="1" hidden="0"/>
    </dxf>
    <dxf>
      <font>
        <strike val="0"/>
        <outline val="0"/>
        <shadow val="0"/>
        <u val="none"/>
        <vertAlign val="baseline"/>
        <sz val="10"/>
        <color theme="1"/>
        <name val="Arial"/>
        <family val="2"/>
        <scheme val="none"/>
      </font>
      <numFmt numFmtId="35" formatCode="_-* #,##0.00_-;\-* #,##0.00_-;_-* &quot;-&quot;??_-;_-@_-"/>
      <protection locked="1" hidden="0"/>
    </dxf>
    <dxf>
      <font>
        <b val="0"/>
        <i val="0"/>
        <strike val="0"/>
        <condense val="0"/>
        <extend val="0"/>
        <outline val="0"/>
        <shadow val="0"/>
        <u val="none"/>
        <vertAlign val="baseline"/>
        <sz val="10"/>
        <color theme="1"/>
        <name val="Arial"/>
        <family val="2"/>
        <scheme val="none"/>
      </font>
      <numFmt numFmtId="0" formatCode="General"/>
      <alignment horizontal="general" vertical="center" textRotation="0" wrapText="0" indent="0" justifyLastLine="0" shrinkToFit="0" readingOrder="0"/>
      <protection locked="1" hidden="0"/>
    </dxf>
    <dxf>
      <font>
        <strike val="0"/>
        <outline val="0"/>
        <shadow val="0"/>
        <u val="none"/>
        <vertAlign val="baseline"/>
        <sz val="10"/>
        <color theme="1"/>
        <name val="Arial"/>
        <family val="2"/>
        <scheme val="none"/>
      </font>
      <protection locked="1" hidden="0"/>
    </dxf>
    <dxf>
      <font>
        <strike val="0"/>
        <outline val="0"/>
        <shadow val="0"/>
        <u val="none"/>
        <vertAlign val="baseline"/>
        <sz val="10"/>
        <color theme="1"/>
        <name val="Arial"/>
        <family val="2"/>
        <scheme val="none"/>
      </font>
      <protection locked="1" hidden="0"/>
    </dxf>
    <dxf>
      <border outline="0">
        <top style="thin">
          <color theme="4" tint="0.39997558519241921"/>
        </top>
      </border>
    </dxf>
    <dxf>
      <font>
        <strike val="0"/>
        <outline val="0"/>
        <shadow val="0"/>
        <u val="none"/>
        <vertAlign val="baseline"/>
        <sz val="10"/>
        <color theme="1"/>
        <name val="Arial"/>
        <family val="2"/>
        <scheme val="none"/>
      </font>
      <protection locked="1" hidden="0"/>
    </dxf>
    <dxf>
      <border outline="0">
        <bottom style="thin">
          <color theme="4" tint="0.39997558519241921"/>
        </bottom>
      </border>
    </dxf>
    <dxf>
      <font>
        <b/>
        <i val="0"/>
        <strike val="0"/>
        <condense val="0"/>
        <extend val="0"/>
        <outline val="0"/>
        <shadow val="0"/>
        <u val="none"/>
        <vertAlign val="baseline"/>
        <sz val="12"/>
        <color theme="0"/>
        <name val="Arial"/>
        <family val="2"/>
        <scheme val="none"/>
      </font>
      <numFmt numFmtId="35" formatCode="_-* #,##0.00_-;\-* #,##0.00_-;_-* &quot;-&quot;??_-;_-@_-"/>
      <fill>
        <patternFill patternType="solid">
          <fgColor indexed="64"/>
          <bgColor theme="1"/>
        </patternFill>
      </fill>
      <alignment horizontal="general"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center" textRotation="0" wrapText="0" indent="0" justifyLastLine="0" shrinkToFit="0" readingOrder="0"/>
      <protection locked="1" hidden="0"/>
    </dxf>
    <dxf>
      <protection locked="1" hidden="0"/>
    </dxf>
    <dxf>
      <protection locked="1" hidden="0"/>
    </dxf>
    <dxf>
      <protection locked="1" hidden="0"/>
    </dxf>
    <dxf>
      <protection locked="1" hidden="0"/>
    </dxf>
    <dxf>
      <border outline="0">
        <left style="thin">
          <color indexed="64"/>
        </left>
        <right style="thin">
          <color indexed="64"/>
        </right>
        <top style="thin">
          <color indexed="64"/>
        </top>
        <bottom style="thin">
          <color indexed="64"/>
        </bottom>
      </border>
    </dxf>
    <dxf>
      <protection locked="1" hidden="0"/>
    </dxf>
    <dxf>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numFmt numFmtId="35" formatCode="_-* #,##0.00_-;\-* #,##0.00_-;_-* &quot;-&quot;??_-;_-@_-"/>
    </dxf>
    <dxf>
      <font>
        <b val="0"/>
        <i val="0"/>
        <strike val="0"/>
        <condense val="0"/>
        <extend val="0"/>
        <outline val="0"/>
        <shadow val="0"/>
        <u val="none"/>
        <vertAlign val="baseline"/>
        <sz val="12"/>
        <color theme="1"/>
        <name val="Arial"/>
        <family val="2"/>
        <scheme val="none"/>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dxf>
    <dxf>
      <numFmt numFmtId="35" formatCode="_-* #,##0.00_-;\-* #,##0.00_-;_-* &quot;-&quot;??_-;_-@_-"/>
    </dxf>
    <dxf>
      <font>
        <b val="0"/>
        <i val="0"/>
        <strike val="0"/>
        <condense val="0"/>
        <extend val="0"/>
        <outline val="0"/>
        <shadow val="0"/>
        <u val="none"/>
        <vertAlign val="baseline"/>
        <sz val="12"/>
        <color theme="1"/>
        <name val="Arial"/>
        <family val="2"/>
        <scheme val="none"/>
      </font>
      <numFmt numFmtId="0" formatCode="General"/>
      <alignment horizontal="general" vertical="center"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2"/>
        <color theme="0"/>
        <name val="Arial"/>
        <family val="2"/>
        <scheme val="none"/>
      </font>
      <numFmt numFmtId="35" formatCode="_-* #,##0.00_-;\-* #,##0.00_-;_-* &quot;-&quot;??_-;_-@_-"/>
      <fill>
        <patternFill patternType="solid">
          <fgColor indexed="64"/>
          <bgColor theme="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protection locked="1" hidden="0"/>
    </dxf>
    <dxf>
      <numFmt numFmtId="35" formatCode="_-* #,##0.00_-;\-* #,##0.00_-;_-* &quot;-&quot;??_-;_-@_-"/>
      <protection locked="1" hidden="0"/>
    </dxf>
    <dxf>
      <numFmt numFmtId="35" formatCode="_-* #,##0.00_-;\-* #,##0.00_-;_-* &quot;-&quot;??_-;_-@_-"/>
      <protection locked="1" hidden="0"/>
    </dxf>
    <dxf>
      <protection locked="1" hidden="0"/>
    </dxf>
    <dxf>
      <protection locked="1" hidden="0"/>
    </dxf>
    <dxf>
      <protection locked="1"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thin">
          <color indexed="64"/>
        </left>
        <right style="thin">
          <color indexed="64"/>
        </right>
        <top style="thin">
          <color indexed="64"/>
        </top>
        <bottom style="thin">
          <color indexed="64"/>
        </bottom>
      </border>
    </dxf>
    <dxf>
      <protection locked="1" hidden="0"/>
    </dxf>
    <dxf>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numFmt numFmtId="35" formatCode="_-* #,##0.00_-;\-* #,##0.00_-;_-* &quot;-&quot;??_-;_-@_-"/>
      <protection locked="1" hidden="0"/>
    </dxf>
    <dxf>
      <font>
        <b val="0"/>
        <i val="0"/>
        <strike val="0"/>
        <condense val="0"/>
        <extend val="0"/>
        <outline val="0"/>
        <shadow val="0"/>
        <u val="none"/>
        <vertAlign val="baseline"/>
        <sz val="12"/>
        <color theme="1"/>
        <name val="Arial"/>
        <family val="2"/>
        <scheme val="none"/>
      </font>
      <numFmt numFmtId="0" formatCode="General"/>
      <alignment horizontal="general" vertical="center" textRotation="0" wrapText="0" indent="0" justifyLastLine="0" shrinkToFit="0" readingOrder="0"/>
      <protection locked="1" hidden="0"/>
    </dxf>
    <dxf>
      <protection locked="1" hidden="0"/>
    </dxf>
    <dxf>
      <protection locked="1" hidden="0"/>
    </dxf>
    <dxf>
      <protection locked="1"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protection locked="1" hidden="0"/>
    </dxf>
    <dxf>
      <numFmt numFmtId="35" formatCode="_-* #,##0.00_-;\-* #,##0.00_-;_-* &quot;-&quot;??_-;_-@_-"/>
      <protection locked="1" hidden="0"/>
    </dxf>
    <dxf>
      <font>
        <b val="0"/>
        <i val="0"/>
        <strike val="0"/>
        <condense val="0"/>
        <extend val="0"/>
        <outline val="0"/>
        <shadow val="0"/>
        <u val="none"/>
        <vertAlign val="baseline"/>
        <sz val="12"/>
        <color theme="1"/>
        <name val="Arial"/>
        <family val="2"/>
        <scheme val="none"/>
      </font>
      <numFmt numFmtId="0" formatCode="General"/>
      <alignment horizontal="general" vertical="center" textRotation="0" wrapText="0" indent="0" justifyLastLine="0" shrinkToFit="0" readingOrder="0"/>
      <protection locked="1" hidden="0"/>
    </dxf>
    <dxf>
      <protection locked="1" hidden="0"/>
    </dxf>
    <dxf>
      <protection locked="1" hidden="0"/>
    </dxf>
    <dxf>
      <protection locked="1"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protection locked="1" hidden="0"/>
    </dxf>
    <dxf>
      <numFmt numFmtId="35" formatCode="_-* #,##0.00_-;\-* #,##0.00_-;_-* &quot;-&quot;??_-;_-@_-"/>
    </dxf>
    <dxf>
      <font>
        <b val="0"/>
        <i val="0"/>
        <strike val="0"/>
        <condense val="0"/>
        <extend val="0"/>
        <outline val="0"/>
        <shadow val="0"/>
        <u val="none"/>
        <vertAlign val="baseline"/>
        <sz val="12"/>
        <color theme="1"/>
        <name val="Arial"/>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center" textRotation="0" wrapText="0" indent="0" justifyLastLine="0" shrinkToFit="0" readingOrder="0"/>
    </dxf>
  </dxfs>
  <tableStyles count="0" defaultTableStyle="TableStyleMedium2" defaultPivotStyle="PivotStyleLight16"/>
  <colors>
    <mruColors>
      <color rgb="FFF8F8F8"/>
      <color rgb="FFE6E7E8"/>
      <color rgb="FFA9D08E"/>
      <color rgb="FFFFABAB"/>
      <color rgb="FF009962"/>
      <color rgb="FFFFFFFF"/>
      <color rgb="FF00A7D3"/>
      <color rgb="FFE7E6E6"/>
      <color rgb="FF82C5D8"/>
      <color rgb="FF0096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microsoft.com/office/2017/06/relationships/rdRichValueStructure" Target="richData/rdrichvaluestructure.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Upstream Emissions</a:t>
            </a:r>
          </a:p>
        </c:rich>
      </c:tx>
      <c:layout>
        <c:manualLayout>
          <c:xMode val="edge"/>
          <c:yMode val="edge"/>
          <c:x val="1.0005313075818693E-2"/>
          <c:y val="3.02380952380952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[0]!Certificate_EmbodiedBreakdownCategories</c:f>
              <c:numCache>
                <c:formatCode>General</c:formatCode>
                <c:ptCount val="1"/>
                <c:pt idx="0">
                  <c:v>#N/A</c:v>
                </c:pt>
              </c:numCache>
            </c:numRef>
          </c:cat>
          <c:val>
            <c:numRef>
              <c:f>[0]!Certificate_EmbodiedBreakdownValues</c:f>
              <c:numCache>
                <c:formatCode>General</c:formatCode>
                <c:ptCount val="1"/>
                <c:pt idx="0">
                  <c:v>#N/A</c:v>
                </c:pt>
              </c:numCache>
            </c:numRef>
          </c:val>
          <c:extLst>
            <c:ext xmlns:c16="http://schemas.microsoft.com/office/drawing/2014/chart" uri="{C3380CC4-5D6E-409C-BE32-E72D297353CC}">
              <c16:uniqueId val="{00000000-E461-4681-8885-F7C3B4AEBBAC}"/>
            </c:ext>
          </c:extLst>
        </c:ser>
        <c:dLbls>
          <c:showLegendKey val="0"/>
          <c:showVal val="1"/>
          <c:showCatName val="0"/>
          <c:showSerName val="0"/>
          <c:showPercent val="0"/>
          <c:showBubbleSize val="0"/>
        </c:dLbls>
        <c:gapWidth val="219"/>
        <c:overlap val="-27"/>
        <c:axId val="662192704"/>
        <c:axId val="662193064"/>
      </c:barChart>
      <c:catAx>
        <c:axId val="66219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193064"/>
        <c:crosses val="autoZero"/>
        <c:auto val="1"/>
        <c:lblAlgn val="ctr"/>
        <c:lblOffset val="100"/>
        <c:noMultiLvlLbl val="0"/>
      </c:catAx>
      <c:valAx>
        <c:axId val="662193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Emissions (kg</a:t>
                </a:r>
                <a:r>
                  <a:rPr lang="en-US" baseline="0"/>
                  <a: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19270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rgbClr val="F8F8F8"/>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Process Emissions</a:t>
            </a:r>
          </a:p>
        </c:rich>
      </c:tx>
      <c:layout>
        <c:manualLayout>
          <c:xMode val="edge"/>
          <c:yMode val="edge"/>
          <c:x val="2.0571777393427602E-2"/>
          <c:y val="3.02380952380952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[0]!ProcessBreakdownCategories</c:f>
              <c:numCache>
                <c:formatCode>General</c:formatCode>
                <c:ptCount val="1"/>
                <c:pt idx="0">
                  <c:v>#N/A</c:v>
                </c:pt>
              </c:numCache>
            </c:numRef>
          </c:cat>
          <c:val>
            <c:numRef>
              <c:f>[0]!ProcessBreakdownValues</c:f>
              <c:numCache>
                <c:formatCode>General</c:formatCode>
                <c:ptCount val="1"/>
                <c:pt idx="0">
                  <c:v>#N/A</c:v>
                </c:pt>
              </c:numCache>
            </c:numRef>
          </c:val>
          <c:extLst>
            <c:ext xmlns:c16="http://schemas.microsoft.com/office/drawing/2014/chart" uri="{C3380CC4-5D6E-409C-BE32-E72D297353CC}">
              <c16:uniqueId val="{00000000-8C63-41E7-B3D1-4C95A250634A}"/>
            </c:ext>
          </c:extLst>
        </c:ser>
        <c:dLbls>
          <c:showLegendKey val="0"/>
          <c:showVal val="1"/>
          <c:showCatName val="0"/>
          <c:showSerName val="0"/>
          <c:showPercent val="0"/>
          <c:showBubbleSize val="0"/>
        </c:dLbls>
        <c:gapWidth val="219"/>
        <c:overlap val="-27"/>
        <c:axId val="662201344"/>
        <c:axId val="662198824"/>
      </c:barChart>
      <c:catAx>
        <c:axId val="66220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198824"/>
        <c:crosses val="autoZero"/>
        <c:auto val="1"/>
        <c:lblAlgn val="ctr"/>
        <c:lblOffset val="100"/>
        <c:noMultiLvlLbl val="0"/>
      </c:catAx>
      <c:valAx>
        <c:axId val="662198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Emissions (kg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20134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rgbClr val="F8F8F8"/>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Emission Reductions</a:t>
            </a:r>
          </a:p>
        </c:rich>
      </c:tx>
      <c:layout>
        <c:manualLayout>
          <c:xMode val="edge"/>
          <c:yMode val="edge"/>
          <c:x val="2.0219983947728341E-2"/>
          <c:y val="3.023809523809523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[0]!ReductionsBreakdownCategories</c:f>
              <c:numCache>
                <c:formatCode>General</c:formatCode>
                <c:ptCount val="1"/>
                <c:pt idx="0">
                  <c:v>#N/A</c:v>
                </c:pt>
              </c:numCache>
            </c:numRef>
          </c:cat>
          <c:val>
            <c:numRef>
              <c:f>[0]!ReductionsBreakdownValues</c:f>
              <c:numCache>
                <c:formatCode>General</c:formatCode>
                <c:ptCount val="1"/>
                <c:pt idx="0">
                  <c:v>#N/A</c:v>
                </c:pt>
              </c:numCache>
            </c:numRef>
          </c:val>
          <c:extLst>
            <c:ext xmlns:c16="http://schemas.microsoft.com/office/drawing/2014/chart" uri="{C3380CC4-5D6E-409C-BE32-E72D297353CC}">
              <c16:uniqueId val="{00000000-B5EB-47CF-B134-22C431C454D9}"/>
            </c:ext>
          </c:extLst>
        </c:ser>
        <c:dLbls>
          <c:showLegendKey val="0"/>
          <c:showVal val="1"/>
          <c:showCatName val="0"/>
          <c:showSerName val="0"/>
          <c:showPercent val="0"/>
          <c:showBubbleSize val="0"/>
        </c:dLbls>
        <c:gapWidth val="219"/>
        <c:overlap val="-27"/>
        <c:axId val="662197384"/>
        <c:axId val="662188024"/>
      </c:barChart>
      <c:catAx>
        <c:axId val="66219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188024"/>
        <c:crosses val="autoZero"/>
        <c:auto val="1"/>
        <c:lblAlgn val="ctr"/>
        <c:lblOffset val="100"/>
        <c:noMultiLvlLbl val="0"/>
      </c:catAx>
      <c:valAx>
        <c:axId val="662188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Emissions</a:t>
                </a:r>
                <a:r>
                  <a:rPr lang="en-US" baseline="0"/>
                  <a:t> (kg CO2-e)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19738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rgbClr val="F8F8F8"/>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Postproduction</a:t>
            </a:r>
            <a:r>
              <a:rPr lang="en-US" b="1" baseline="0"/>
              <a:t> Emissions</a:t>
            </a:r>
            <a:endParaRPr lang="en-US" b="1"/>
          </a:p>
        </c:rich>
      </c:tx>
      <c:layout>
        <c:manualLayout>
          <c:xMode val="edge"/>
          <c:yMode val="edge"/>
          <c:x val="2.0636325612416767E-2"/>
          <c:y val="2.51984126984126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Certificate!$AJ$25:$AJ$26</c:f>
              <c:numCache>
                <c:formatCode>General</c:formatCode>
                <c:ptCount val="2"/>
                <c:pt idx="0">
                  <c:v>#N/A</c:v>
                </c:pt>
              </c:numCache>
            </c:numRef>
          </c:cat>
          <c:val>
            <c:numRef>
              <c:f>Certificate!$AK$25:$AK$26</c:f>
              <c:numCache>
                <c:formatCode>General</c:formatCode>
                <c:ptCount val="2"/>
                <c:pt idx="0">
                  <c:v>#N/A</c:v>
                </c:pt>
              </c:numCache>
            </c:numRef>
          </c:val>
          <c:extLst>
            <c:ext xmlns:c16="http://schemas.microsoft.com/office/drawing/2014/chart" uri="{C3380CC4-5D6E-409C-BE32-E72D297353CC}">
              <c16:uniqueId val="{00000000-0FF6-424B-A186-3694CF5FD597}"/>
            </c:ext>
          </c:extLst>
        </c:ser>
        <c:dLbls>
          <c:showLegendKey val="0"/>
          <c:showVal val="1"/>
          <c:showCatName val="0"/>
          <c:showSerName val="0"/>
          <c:showPercent val="0"/>
          <c:showBubbleSize val="0"/>
        </c:dLbls>
        <c:gapWidth val="219"/>
        <c:overlap val="-27"/>
        <c:axId val="1018335464"/>
        <c:axId val="1018336184"/>
      </c:barChart>
      <c:catAx>
        <c:axId val="101833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336184"/>
        <c:crosses val="autoZero"/>
        <c:auto val="1"/>
        <c:lblAlgn val="ctr"/>
        <c:lblOffset val="100"/>
        <c:noMultiLvlLbl val="0"/>
      </c:catAx>
      <c:valAx>
        <c:axId val="1018336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Emissions (kg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33546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rgbClr val="F8F8F8"/>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Product Losses</a:t>
            </a:r>
          </a:p>
        </c:rich>
      </c:tx>
      <c:layout>
        <c:manualLayout>
          <c:xMode val="edge"/>
          <c:yMode val="edge"/>
          <c:x val="2.0636325612416767E-2"/>
          <c:y val="2.51984126984126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Certificate!$AO$25:$AO$26</c:f>
              <c:numCache>
                <c:formatCode>General</c:formatCode>
                <c:ptCount val="2"/>
                <c:pt idx="0">
                  <c:v>#N/A</c:v>
                </c:pt>
              </c:numCache>
            </c:numRef>
          </c:cat>
          <c:val>
            <c:numRef>
              <c:f>Certificate!$AP$25:$AP$26</c:f>
              <c:numCache>
                <c:formatCode>General</c:formatCode>
                <c:ptCount val="2"/>
                <c:pt idx="0">
                  <c:v>#N/A</c:v>
                </c:pt>
              </c:numCache>
            </c:numRef>
          </c:val>
          <c:extLst>
            <c:ext xmlns:c16="http://schemas.microsoft.com/office/drawing/2014/chart" uri="{C3380CC4-5D6E-409C-BE32-E72D297353CC}">
              <c16:uniqueId val="{00000000-984C-4B2F-97F7-C2D7902FBB0D}"/>
            </c:ext>
          </c:extLst>
        </c:ser>
        <c:dLbls>
          <c:showLegendKey val="0"/>
          <c:showVal val="1"/>
          <c:showCatName val="0"/>
          <c:showSerName val="0"/>
          <c:showPercent val="0"/>
          <c:showBubbleSize val="0"/>
        </c:dLbls>
        <c:gapWidth val="219"/>
        <c:overlap val="-27"/>
        <c:axId val="1018335464"/>
        <c:axId val="1018336184"/>
      </c:barChart>
      <c:catAx>
        <c:axId val="101833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336184"/>
        <c:crosses val="autoZero"/>
        <c:auto val="1"/>
        <c:lblAlgn val="ctr"/>
        <c:lblOffset val="100"/>
        <c:noMultiLvlLbl val="0"/>
      </c:catAx>
      <c:valAx>
        <c:axId val="1018336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Losses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33546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rgbClr val="F8F8F8"/>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2994290</xdr:colOff>
      <xdr:row>2</xdr:row>
      <xdr:rowOff>1625</xdr:rowOff>
    </xdr:to>
    <xdr:pic>
      <xdr:nvPicPr>
        <xdr:cNvPr id="9" name="Picture 8">
          <a:extLst>
            <a:ext uri="{FF2B5EF4-FFF2-40B4-BE49-F238E27FC236}">
              <a16:creationId xmlns:a16="http://schemas.microsoft.com/office/drawing/2014/main" id="{171A63D6-9ECB-4241-90AF-B4D55A242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228600"/>
          <a:ext cx="6011810" cy="129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3063240</xdr:colOff>
      <xdr:row>1</xdr:row>
      <xdr:rowOff>324383</xdr:rowOff>
    </xdr:from>
    <xdr:to>
      <xdr:col>7</xdr:col>
      <xdr:colOff>5388</xdr:colOff>
      <xdr:row>1</xdr:row>
      <xdr:rowOff>968990</xdr:rowOff>
    </xdr:to>
    <xdr:sp macro="" textlink="">
      <xdr:nvSpPr>
        <xdr:cNvPr id="4" name="TextBox 14">
          <a:extLst>
            <a:ext uri="{FF2B5EF4-FFF2-40B4-BE49-F238E27FC236}">
              <a16:creationId xmlns:a16="http://schemas.microsoft.com/office/drawing/2014/main" id="{1DF918A3-946B-3B19-95AF-56BE5006EE56}"/>
            </a:ext>
          </a:extLst>
        </xdr:cNvPr>
        <xdr:cNvSpPr txBox="1"/>
      </xdr:nvSpPr>
      <xdr:spPr>
        <a:xfrm>
          <a:off x="6316980" y="552983"/>
          <a:ext cx="7472988" cy="64460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3600" b="1">
              <a:latin typeface="Arial" panose="020B0604020202020204" pitchFamily="34" charset="0"/>
              <a:cs typeface="Arial" panose="020B0604020202020204" pitchFamily="34" charset="0"/>
            </a:rPr>
            <a:t>WELCOME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1638300</xdr:colOff>
      <xdr:row>1</xdr:row>
      <xdr:rowOff>227689</xdr:rowOff>
    </xdr:from>
    <xdr:to>
      <xdr:col>16</xdr:col>
      <xdr:colOff>178180</xdr:colOff>
      <xdr:row>1</xdr:row>
      <xdr:rowOff>1065686</xdr:rowOff>
    </xdr:to>
    <xdr:sp macro="" textlink="">
      <xdr:nvSpPr>
        <xdr:cNvPr id="10" name="TextBox 19">
          <a:extLst>
            <a:ext uri="{FF2B5EF4-FFF2-40B4-BE49-F238E27FC236}">
              <a16:creationId xmlns:a16="http://schemas.microsoft.com/office/drawing/2014/main" id="{7795138F-4422-CF21-0E92-A3EBD9A1D136}"/>
            </a:ext>
          </a:extLst>
        </xdr:cNvPr>
        <xdr:cNvSpPr txBox="1"/>
      </xdr:nvSpPr>
      <xdr:spPr>
        <a:xfrm>
          <a:off x="6309360" y="456289"/>
          <a:ext cx="9291700" cy="83799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3600" b="1">
              <a:latin typeface="Arial" panose="020B0604020202020204" pitchFamily="34" charset="0"/>
              <a:cs typeface="Arial" panose="020B0604020202020204" pitchFamily="34" charset="0"/>
            </a:rPr>
            <a:t>FACILITY DETAILS</a:t>
          </a:r>
        </a:p>
      </xdr:txBody>
    </xdr:sp>
    <xdr:clientData/>
  </xdr:twoCellAnchor>
  <xdr:twoCellAnchor editAs="oneCell">
    <xdr:from>
      <xdr:col>1</xdr:col>
      <xdr:colOff>0</xdr:colOff>
      <xdr:row>1</xdr:row>
      <xdr:rowOff>1</xdr:rowOff>
    </xdr:from>
    <xdr:to>
      <xdr:col>4</xdr:col>
      <xdr:colOff>1576970</xdr:colOff>
      <xdr:row>1</xdr:row>
      <xdr:rowOff>1293373</xdr:rowOff>
    </xdr:to>
    <xdr:pic>
      <xdr:nvPicPr>
        <xdr:cNvPr id="5" name="Picture 4">
          <a:extLst>
            <a:ext uri="{FF2B5EF4-FFF2-40B4-BE49-F238E27FC236}">
              <a16:creationId xmlns:a16="http://schemas.microsoft.com/office/drawing/2014/main" id="{D19CC775-4D18-4E22-926D-DD7CC85F8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228601"/>
          <a:ext cx="6011810" cy="129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2316892</xdr:colOff>
      <xdr:row>1</xdr:row>
      <xdr:rowOff>190816</xdr:rowOff>
    </xdr:from>
    <xdr:to>
      <xdr:col>9</xdr:col>
      <xdr:colOff>281257</xdr:colOff>
      <xdr:row>1</xdr:row>
      <xdr:rowOff>1102556</xdr:rowOff>
    </xdr:to>
    <xdr:sp macro="" textlink="">
      <xdr:nvSpPr>
        <xdr:cNvPr id="4" name="TextBox 3">
          <a:extLst>
            <a:ext uri="{FF2B5EF4-FFF2-40B4-BE49-F238E27FC236}">
              <a16:creationId xmlns:a16="http://schemas.microsoft.com/office/drawing/2014/main" id="{9654E2C2-6911-E39D-357F-296DAF73CE6A}"/>
            </a:ext>
          </a:extLst>
        </xdr:cNvPr>
        <xdr:cNvSpPr txBox="1"/>
      </xdr:nvSpPr>
      <xdr:spPr>
        <a:xfrm>
          <a:off x="6294532" y="419416"/>
          <a:ext cx="7458885" cy="91174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3600" b="1">
              <a:latin typeface="Arial" panose="020B0604020202020204" pitchFamily="34" charset="0"/>
              <a:cs typeface="Arial" panose="020B0604020202020204" pitchFamily="34" charset="0"/>
            </a:rPr>
            <a:t>ELECTRICITY USAGE</a:t>
          </a:r>
        </a:p>
      </xdr:txBody>
    </xdr:sp>
    <xdr:clientData/>
  </xdr:twoCellAnchor>
  <xdr:twoCellAnchor editAs="oneCell">
    <xdr:from>
      <xdr:col>1</xdr:col>
      <xdr:colOff>0</xdr:colOff>
      <xdr:row>1</xdr:row>
      <xdr:rowOff>0</xdr:rowOff>
    </xdr:from>
    <xdr:to>
      <xdr:col>4</xdr:col>
      <xdr:colOff>2273891</xdr:colOff>
      <xdr:row>1</xdr:row>
      <xdr:rowOff>1293372</xdr:rowOff>
    </xdr:to>
    <xdr:pic>
      <xdr:nvPicPr>
        <xdr:cNvPr id="7" name="Picture 6">
          <a:extLst>
            <a:ext uri="{FF2B5EF4-FFF2-40B4-BE49-F238E27FC236}">
              <a16:creationId xmlns:a16="http://schemas.microsoft.com/office/drawing/2014/main" id="{6DDCF0E9-5718-43E0-BEB0-092688B45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228600"/>
          <a:ext cx="6015311" cy="129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2484120</xdr:colOff>
      <xdr:row>1</xdr:row>
      <xdr:rowOff>210141</xdr:rowOff>
    </xdr:from>
    <xdr:to>
      <xdr:col>20</xdr:col>
      <xdr:colOff>361450</xdr:colOff>
      <xdr:row>1</xdr:row>
      <xdr:rowOff>1083232</xdr:rowOff>
    </xdr:to>
    <xdr:sp macro="" textlink="">
      <xdr:nvSpPr>
        <xdr:cNvPr id="18" name="TextBox 6">
          <a:extLst>
            <a:ext uri="{FF2B5EF4-FFF2-40B4-BE49-F238E27FC236}">
              <a16:creationId xmlns:a16="http://schemas.microsoft.com/office/drawing/2014/main" id="{92B1731A-9857-47EC-4EB9-C82DAD24C3C3}"/>
            </a:ext>
          </a:extLst>
        </xdr:cNvPr>
        <xdr:cNvSpPr txBox="1"/>
      </xdr:nvSpPr>
      <xdr:spPr>
        <a:xfrm>
          <a:off x="6393180" y="438741"/>
          <a:ext cx="25560790" cy="873091"/>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3600" b="1">
              <a:latin typeface="Arial" panose="020B0604020202020204" pitchFamily="34" charset="0"/>
              <a:cs typeface="Arial" panose="020B0604020202020204" pitchFamily="34" charset="0"/>
            </a:rPr>
            <a:t>ELECTROLYSIS</a:t>
          </a:r>
        </a:p>
      </xdr:txBody>
    </xdr:sp>
    <xdr:clientData/>
  </xdr:twoCellAnchor>
  <xdr:twoCellAnchor editAs="oneCell">
    <xdr:from>
      <xdr:col>1</xdr:col>
      <xdr:colOff>0</xdr:colOff>
      <xdr:row>1</xdr:row>
      <xdr:rowOff>0</xdr:rowOff>
    </xdr:from>
    <xdr:to>
      <xdr:col>4</xdr:col>
      <xdr:colOff>2338970</xdr:colOff>
      <xdr:row>1</xdr:row>
      <xdr:rowOff>1293372</xdr:rowOff>
    </xdr:to>
    <xdr:pic>
      <xdr:nvPicPr>
        <xdr:cNvPr id="4" name="Picture 3">
          <a:extLst>
            <a:ext uri="{FF2B5EF4-FFF2-40B4-BE49-F238E27FC236}">
              <a16:creationId xmlns:a16="http://schemas.microsoft.com/office/drawing/2014/main" id="{37ABDEB0-3999-4D26-A542-63A6687E5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228600"/>
          <a:ext cx="6011810" cy="129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2554940</xdr:colOff>
      <xdr:row>1</xdr:row>
      <xdr:rowOff>213876</xdr:rowOff>
    </xdr:from>
    <xdr:to>
      <xdr:col>21</xdr:col>
      <xdr:colOff>133330</xdr:colOff>
      <xdr:row>1</xdr:row>
      <xdr:rowOff>1079496</xdr:rowOff>
    </xdr:to>
    <xdr:sp macro="" textlink="">
      <xdr:nvSpPr>
        <xdr:cNvPr id="11" name="TextBox 6">
          <a:extLst>
            <a:ext uri="{FF2B5EF4-FFF2-40B4-BE49-F238E27FC236}">
              <a16:creationId xmlns:a16="http://schemas.microsoft.com/office/drawing/2014/main" id="{C6EEDE75-D027-6A1F-86BD-BB61EED6E158}"/>
            </a:ext>
          </a:extLst>
        </xdr:cNvPr>
        <xdr:cNvSpPr txBox="1"/>
      </xdr:nvSpPr>
      <xdr:spPr>
        <a:xfrm>
          <a:off x="6391834" y="446958"/>
          <a:ext cx="25781355" cy="865620"/>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3600" b="1">
              <a:latin typeface="Arial" panose="020B0604020202020204" pitchFamily="34" charset="0"/>
              <a:cs typeface="Arial" panose="020B0604020202020204" pitchFamily="34" charset="0"/>
            </a:rPr>
            <a:t>NATURAL</a:t>
          </a:r>
          <a:r>
            <a:rPr lang="en-US" sz="3600" b="1" baseline="0">
              <a:latin typeface="Arial" panose="020B0604020202020204" pitchFamily="34" charset="0"/>
              <a:cs typeface="Arial" panose="020B0604020202020204" pitchFamily="34" charset="0"/>
            </a:rPr>
            <a:t> GAS REFORMING</a:t>
          </a:r>
          <a:endParaRPr lang="en-US" sz="3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1</xdr:row>
      <xdr:rowOff>0</xdr:rowOff>
    </xdr:from>
    <xdr:to>
      <xdr:col>4</xdr:col>
      <xdr:colOff>2407998</xdr:colOff>
      <xdr:row>1</xdr:row>
      <xdr:rowOff>1293372</xdr:rowOff>
    </xdr:to>
    <xdr:pic>
      <xdr:nvPicPr>
        <xdr:cNvPr id="3" name="Picture 2">
          <a:extLst>
            <a:ext uri="{FF2B5EF4-FFF2-40B4-BE49-F238E27FC236}">
              <a16:creationId xmlns:a16="http://schemas.microsoft.com/office/drawing/2014/main" id="{88B2AA6F-08DE-4CBD-915D-97C2B53DF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082" y="233082"/>
          <a:ext cx="6011810" cy="129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2604052</xdr:colOff>
      <xdr:row>1</xdr:row>
      <xdr:rowOff>213269</xdr:rowOff>
    </xdr:from>
    <xdr:to>
      <xdr:col>18</xdr:col>
      <xdr:colOff>0</xdr:colOff>
      <xdr:row>1</xdr:row>
      <xdr:rowOff>1072263</xdr:rowOff>
    </xdr:to>
    <xdr:sp macro="" textlink="">
      <xdr:nvSpPr>
        <xdr:cNvPr id="8" name="TextBox 6">
          <a:extLst>
            <a:ext uri="{FF2B5EF4-FFF2-40B4-BE49-F238E27FC236}">
              <a16:creationId xmlns:a16="http://schemas.microsoft.com/office/drawing/2014/main" id="{D36B3DA1-7730-597B-D24F-D1E499F18F6B}"/>
            </a:ext>
          </a:extLst>
        </xdr:cNvPr>
        <xdr:cNvSpPr txBox="1"/>
      </xdr:nvSpPr>
      <xdr:spPr>
        <a:xfrm>
          <a:off x="6480313" y="445182"/>
          <a:ext cx="23767774" cy="858994"/>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3600" b="1">
              <a:latin typeface="Arial" panose="020B0604020202020204" pitchFamily="34" charset="0"/>
              <a:cs typeface="Arial" panose="020B0604020202020204" pitchFamily="34" charset="0"/>
            </a:rPr>
            <a:t>COAL</a:t>
          </a:r>
          <a:r>
            <a:rPr lang="en-US" sz="3600" b="1" baseline="0">
              <a:latin typeface="Arial" panose="020B0604020202020204" pitchFamily="34" charset="0"/>
              <a:cs typeface="Arial" panose="020B0604020202020204" pitchFamily="34" charset="0"/>
            </a:rPr>
            <a:t> GASIFICATION</a:t>
          </a:r>
          <a:endParaRPr lang="en-US" sz="3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1</xdr:row>
      <xdr:rowOff>0</xdr:rowOff>
    </xdr:from>
    <xdr:to>
      <xdr:col>4</xdr:col>
      <xdr:colOff>2374088</xdr:colOff>
      <xdr:row>2</xdr:row>
      <xdr:rowOff>7911</xdr:rowOff>
    </xdr:to>
    <xdr:pic>
      <xdr:nvPicPr>
        <xdr:cNvPr id="3" name="Picture 2">
          <a:extLst>
            <a:ext uri="{FF2B5EF4-FFF2-40B4-BE49-F238E27FC236}">
              <a16:creationId xmlns:a16="http://schemas.microsoft.com/office/drawing/2014/main" id="{CB0CB0B9-A475-41F2-A8D2-6EA0F4C95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539" y="231913"/>
          <a:ext cx="6011810" cy="129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2144486</xdr:colOff>
      <xdr:row>1</xdr:row>
      <xdr:rowOff>211246</xdr:rowOff>
    </xdr:from>
    <xdr:to>
      <xdr:col>16</xdr:col>
      <xdr:colOff>551497</xdr:colOff>
      <xdr:row>1</xdr:row>
      <xdr:rowOff>1082126</xdr:rowOff>
    </xdr:to>
    <xdr:sp macro="" textlink="">
      <xdr:nvSpPr>
        <xdr:cNvPr id="4" name="TextBox 3">
          <a:extLst>
            <a:ext uri="{FF2B5EF4-FFF2-40B4-BE49-F238E27FC236}">
              <a16:creationId xmlns:a16="http://schemas.microsoft.com/office/drawing/2014/main" id="{C822B2BF-FB01-4968-1923-358E8D9F4143}"/>
            </a:ext>
          </a:extLst>
        </xdr:cNvPr>
        <xdr:cNvSpPr txBox="1"/>
      </xdr:nvSpPr>
      <xdr:spPr>
        <a:xfrm>
          <a:off x="6373586" y="439846"/>
          <a:ext cx="32811311" cy="870880"/>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3600" b="1">
              <a:latin typeface="Arial" panose="020B0604020202020204" pitchFamily="34" charset="0"/>
              <a:cs typeface="Arial" panose="020B0604020202020204" pitchFamily="34" charset="0"/>
            </a:rPr>
            <a:t>TRANSPORT AND STORAGE - Hydrogen</a:t>
          </a:r>
        </a:p>
      </xdr:txBody>
    </xdr:sp>
    <xdr:clientData/>
  </xdr:twoCellAnchor>
  <xdr:twoCellAnchor editAs="oneCell">
    <xdr:from>
      <xdr:col>1</xdr:col>
      <xdr:colOff>0</xdr:colOff>
      <xdr:row>1</xdr:row>
      <xdr:rowOff>0</xdr:rowOff>
    </xdr:from>
    <xdr:to>
      <xdr:col>4</xdr:col>
      <xdr:colOff>2016753</xdr:colOff>
      <xdr:row>2</xdr:row>
      <xdr:rowOff>7497</xdr:rowOff>
    </xdr:to>
    <xdr:pic>
      <xdr:nvPicPr>
        <xdr:cNvPr id="6" name="Picture 5">
          <a:extLst>
            <a:ext uri="{FF2B5EF4-FFF2-40B4-BE49-F238E27FC236}">
              <a16:creationId xmlns:a16="http://schemas.microsoft.com/office/drawing/2014/main" id="{6283C012-DFA0-4406-B33C-F14402EA6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28600"/>
          <a:ext cx="6017253" cy="129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815340</xdr:colOff>
      <xdr:row>1</xdr:row>
      <xdr:rowOff>286987</xdr:rowOff>
    </xdr:from>
    <xdr:to>
      <xdr:col>8</xdr:col>
      <xdr:colOff>0</xdr:colOff>
      <xdr:row>1</xdr:row>
      <xdr:rowOff>1006386</xdr:rowOff>
    </xdr:to>
    <xdr:sp macro="" textlink="">
      <xdr:nvSpPr>
        <xdr:cNvPr id="5" name="TextBox 9">
          <a:extLst>
            <a:ext uri="{FF2B5EF4-FFF2-40B4-BE49-F238E27FC236}">
              <a16:creationId xmlns:a16="http://schemas.microsoft.com/office/drawing/2014/main" id="{61F65413-94A6-17AC-C133-BD9391A8D58D}"/>
            </a:ext>
          </a:extLst>
        </xdr:cNvPr>
        <xdr:cNvSpPr txBox="1"/>
      </xdr:nvSpPr>
      <xdr:spPr>
        <a:xfrm>
          <a:off x="6301740" y="515587"/>
          <a:ext cx="6286500" cy="71939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3600" b="1">
              <a:latin typeface="Arial" panose="020B0604020202020204" pitchFamily="34" charset="0"/>
              <a:cs typeface="Arial" panose="020B0604020202020204" pitchFamily="34" charset="0"/>
            </a:rPr>
            <a:t>PRODUCTION SUMMARY</a:t>
          </a:r>
        </a:p>
      </xdr:txBody>
    </xdr:sp>
    <xdr:clientData/>
  </xdr:twoCellAnchor>
  <xdr:twoCellAnchor editAs="oneCell">
    <xdr:from>
      <xdr:col>1</xdr:col>
      <xdr:colOff>0</xdr:colOff>
      <xdr:row>1</xdr:row>
      <xdr:rowOff>0</xdr:rowOff>
    </xdr:from>
    <xdr:to>
      <xdr:col>3</xdr:col>
      <xdr:colOff>761630</xdr:colOff>
      <xdr:row>1</xdr:row>
      <xdr:rowOff>1293372</xdr:rowOff>
    </xdr:to>
    <xdr:pic>
      <xdr:nvPicPr>
        <xdr:cNvPr id="6" name="Picture 5">
          <a:extLst>
            <a:ext uri="{FF2B5EF4-FFF2-40B4-BE49-F238E27FC236}">
              <a16:creationId xmlns:a16="http://schemas.microsoft.com/office/drawing/2014/main" id="{1B915A63-6FFD-471A-878E-EF68081F4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228600"/>
          <a:ext cx="6011810" cy="129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889844</xdr:colOff>
      <xdr:row>1</xdr:row>
      <xdr:rowOff>1249946</xdr:rowOff>
    </xdr:from>
    <xdr:to>
      <xdr:col>13</xdr:col>
      <xdr:colOff>933589</xdr:colOff>
      <xdr:row>1</xdr:row>
      <xdr:rowOff>2521962</xdr:rowOff>
    </xdr:to>
    <xdr:sp macro="" textlink="">
      <xdr:nvSpPr>
        <xdr:cNvPr id="5" name="TextBox 3">
          <a:extLst>
            <a:ext uri="{FF2B5EF4-FFF2-40B4-BE49-F238E27FC236}">
              <a16:creationId xmlns:a16="http://schemas.microsoft.com/office/drawing/2014/main" id="{90F66BD9-66A7-3F2A-0EEC-51FE34082D0C}"/>
            </a:ext>
          </a:extLst>
        </xdr:cNvPr>
        <xdr:cNvSpPr txBox="1"/>
      </xdr:nvSpPr>
      <xdr:spPr>
        <a:xfrm>
          <a:off x="10851262" y="1665582"/>
          <a:ext cx="15602400" cy="127201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0" b="1">
              <a:latin typeface="Arial" panose="020B0604020202020204" pitchFamily="34" charset="0"/>
              <a:cs typeface="Arial" panose="020B0604020202020204" pitchFamily="34" charset="0"/>
            </a:rPr>
            <a:t>AMMONIA PRODUCTION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852099</xdr:colOff>
      <xdr:row>1</xdr:row>
      <xdr:rowOff>1249946</xdr:rowOff>
    </xdr:from>
    <xdr:to>
      <xdr:col>13</xdr:col>
      <xdr:colOff>895488</xdr:colOff>
      <xdr:row>1</xdr:row>
      <xdr:rowOff>2521962</xdr:rowOff>
    </xdr:to>
    <xdr:sp macro="" textlink="">
      <xdr:nvSpPr>
        <xdr:cNvPr id="7" name="TextBox 3">
          <a:extLst>
            <a:ext uri="{FF2B5EF4-FFF2-40B4-BE49-F238E27FC236}">
              <a16:creationId xmlns:a16="http://schemas.microsoft.com/office/drawing/2014/main" id="{76CC14C8-20FA-B895-B6C4-494F6FCD87B6}"/>
            </a:ext>
          </a:extLst>
        </xdr:cNvPr>
        <xdr:cNvSpPr txBox="1"/>
      </xdr:nvSpPr>
      <xdr:spPr>
        <a:xfrm>
          <a:off x="10997585" y="1674489"/>
          <a:ext cx="15609960" cy="127201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0" b="1">
              <a:latin typeface="Arial" panose="020B0604020202020204" pitchFamily="34" charset="0"/>
              <a:cs typeface="Arial" panose="020B0604020202020204" pitchFamily="34" charset="0"/>
            </a:rPr>
            <a:t>HYDROGEN LIQUEFACTION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1417595</xdr:colOff>
      <xdr:row>1</xdr:row>
      <xdr:rowOff>1249946</xdr:rowOff>
    </xdr:from>
    <xdr:to>
      <xdr:col>13</xdr:col>
      <xdr:colOff>1447939</xdr:colOff>
      <xdr:row>1</xdr:row>
      <xdr:rowOff>2521962</xdr:rowOff>
    </xdr:to>
    <xdr:sp macro="" textlink="">
      <xdr:nvSpPr>
        <xdr:cNvPr id="5" name="TextBox 3">
          <a:extLst>
            <a:ext uri="{FF2B5EF4-FFF2-40B4-BE49-F238E27FC236}">
              <a16:creationId xmlns:a16="http://schemas.microsoft.com/office/drawing/2014/main" id="{E50F9188-54E8-736C-8CDF-F19E807A1D2C}"/>
            </a:ext>
          </a:extLst>
        </xdr:cNvPr>
        <xdr:cNvSpPr txBox="1"/>
      </xdr:nvSpPr>
      <xdr:spPr>
        <a:xfrm>
          <a:off x="10844624" y="1674489"/>
          <a:ext cx="15596915" cy="127201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0" b="1">
              <a:latin typeface="Arial" panose="020B0604020202020204" pitchFamily="34" charset="0"/>
              <a:cs typeface="Arial" panose="020B0604020202020204" pitchFamily="34" charset="0"/>
            </a:rPr>
            <a:t>LOHC</a:t>
          </a:r>
          <a:r>
            <a:rPr lang="en-US" sz="8000" b="1" baseline="0">
              <a:latin typeface="Arial" panose="020B0604020202020204" pitchFamily="34" charset="0"/>
              <a:cs typeface="Arial" panose="020B0604020202020204" pitchFamily="34" charset="0"/>
            </a:rPr>
            <a:t> - HYDROGENATION</a:t>
          </a:r>
          <a:endParaRPr lang="en-US" sz="8000" b="1">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1367933</xdr:colOff>
      <xdr:row>1</xdr:row>
      <xdr:rowOff>1243849</xdr:rowOff>
    </xdr:from>
    <xdr:to>
      <xdr:col>10</xdr:col>
      <xdr:colOff>3972335</xdr:colOff>
      <xdr:row>1</xdr:row>
      <xdr:rowOff>3695546</xdr:rowOff>
    </xdr:to>
    <xdr:sp macro="" textlink="">
      <xdr:nvSpPr>
        <xdr:cNvPr id="4" name="TextBox 3">
          <a:extLst>
            <a:ext uri="{FF2B5EF4-FFF2-40B4-BE49-F238E27FC236}">
              <a16:creationId xmlns:a16="http://schemas.microsoft.com/office/drawing/2014/main" id="{F59CBE18-0275-DF26-478B-EF7D605F4C59}"/>
            </a:ext>
          </a:extLst>
        </xdr:cNvPr>
        <xdr:cNvSpPr txBox="1"/>
      </xdr:nvSpPr>
      <xdr:spPr>
        <a:xfrm>
          <a:off x="14049790" y="1407135"/>
          <a:ext cx="20369888" cy="245169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0" b="1">
              <a:latin typeface="Arial" panose="020B0604020202020204" pitchFamily="34" charset="0"/>
              <a:cs typeface="Arial" panose="020B0604020202020204" pitchFamily="34" charset="0"/>
            </a:rPr>
            <a:t>CONDITIONING: </a:t>
          </a:r>
        </a:p>
        <a:p>
          <a:r>
            <a:rPr lang="en-US" sz="8000" b="1">
              <a:latin typeface="Arial" panose="020B0604020202020204" pitchFamily="34" charset="0"/>
              <a:cs typeface="Arial" panose="020B0604020202020204" pitchFamily="34" charset="0"/>
            </a:rPr>
            <a:t>TRANSPORT AND STORAGE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116718</xdr:colOff>
      <xdr:row>0</xdr:row>
      <xdr:rowOff>750024</xdr:rowOff>
    </xdr:from>
    <xdr:to>
      <xdr:col>7</xdr:col>
      <xdr:colOff>238938</xdr:colOff>
      <xdr:row>0</xdr:row>
      <xdr:rowOff>1443775</xdr:rowOff>
    </xdr:to>
    <xdr:sp macro="" textlink="">
      <xdr:nvSpPr>
        <xdr:cNvPr id="5" name="TextBox 9">
          <a:extLst>
            <a:ext uri="{FF2B5EF4-FFF2-40B4-BE49-F238E27FC236}">
              <a16:creationId xmlns:a16="http://schemas.microsoft.com/office/drawing/2014/main" id="{FBE1D443-8F5D-9282-05A2-6346256E28DA}"/>
            </a:ext>
          </a:extLst>
        </xdr:cNvPr>
        <xdr:cNvSpPr txBox="1"/>
      </xdr:nvSpPr>
      <xdr:spPr>
        <a:xfrm>
          <a:off x="5991738" y="750024"/>
          <a:ext cx="7894620" cy="69375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4000" b="1">
              <a:latin typeface="Arial" panose="020B0604020202020204" pitchFamily="34" charset="0"/>
              <a:cs typeface="Arial" panose="020B0604020202020204" pitchFamily="34" charset="0"/>
            </a:rPr>
            <a:t>CONDITIONING SUMMARY</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1605069</xdr:colOff>
      <xdr:row>1</xdr:row>
      <xdr:rowOff>1249946</xdr:rowOff>
    </xdr:from>
    <xdr:to>
      <xdr:col>13</xdr:col>
      <xdr:colOff>1638438</xdr:colOff>
      <xdr:row>1</xdr:row>
      <xdr:rowOff>2521962</xdr:rowOff>
    </xdr:to>
    <xdr:sp macro="" textlink="">
      <xdr:nvSpPr>
        <xdr:cNvPr id="11" name="TextBox 3">
          <a:extLst>
            <a:ext uri="{FF2B5EF4-FFF2-40B4-BE49-F238E27FC236}">
              <a16:creationId xmlns:a16="http://schemas.microsoft.com/office/drawing/2014/main" id="{D979F923-1FDE-7DB2-0DD8-B0F77670C29C}"/>
            </a:ext>
          </a:extLst>
        </xdr:cNvPr>
        <xdr:cNvSpPr txBox="1"/>
      </xdr:nvSpPr>
      <xdr:spPr>
        <a:xfrm>
          <a:off x="10998451" y="1665582"/>
          <a:ext cx="15592023" cy="127201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0" b="1">
              <a:latin typeface="Arial" panose="020B0604020202020204" pitchFamily="34" charset="0"/>
              <a:cs typeface="Arial" panose="020B0604020202020204" pitchFamily="34" charset="0"/>
            </a:rPr>
            <a:t>AMMONIA CRACKING</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1468607</xdr:colOff>
      <xdr:row>1</xdr:row>
      <xdr:rowOff>1249946</xdr:rowOff>
    </xdr:from>
    <xdr:to>
      <xdr:col>13</xdr:col>
      <xdr:colOff>1505089</xdr:colOff>
      <xdr:row>1</xdr:row>
      <xdr:rowOff>2521962</xdr:rowOff>
    </xdr:to>
    <xdr:sp macro="" textlink="">
      <xdr:nvSpPr>
        <xdr:cNvPr id="4" name="TextBox 3">
          <a:extLst>
            <a:ext uri="{FF2B5EF4-FFF2-40B4-BE49-F238E27FC236}">
              <a16:creationId xmlns:a16="http://schemas.microsoft.com/office/drawing/2014/main" id="{4AF97E20-9B1E-7800-7746-D9E00BC56D9F}"/>
            </a:ext>
          </a:extLst>
        </xdr:cNvPr>
        <xdr:cNvSpPr txBox="1"/>
      </xdr:nvSpPr>
      <xdr:spPr>
        <a:xfrm>
          <a:off x="11000534" y="1665582"/>
          <a:ext cx="15595137" cy="127201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0" b="1">
              <a:latin typeface="Arial" panose="020B0604020202020204" pitchFamily="34" charset="0"/>
              <a:cs typeface="Arial" panose="020B0604020202020204" pitchFamily="34" charset="0"/>
            </a:rPr>
            <a:t>LOHC - DEHYDROGENATION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1373998</xdr:colOff>
      <xdr:row>1</xdr:row>
      <xdr:rowOff>1243849</xdr:rowOff>
    </xdr:from>
    <xdr:to>
      <xdr:col>10</xdr:col>
      <xdr:colOff>3995308</xdr:colOff>
      <xdr:row>1</xdr:row>
      <xdr:rowOff>3695546</xdr:rowOff>
    </xdr:to>
    <xdr:sp macro="" textlink="">
      <xdr:nvSpPr>
        <xdr:cNvPr id="10" name="TextBox 9">
          <a:extLst>
            <a:ext uri="{FF2B5EF4-FFF2-40B4-BE49-F238E27FC236}">
              <a16:creationId xmlns:a16="http://schemas.microsoft.com/office/drawing/2014/main" id="{157D7B94-C2D7-74D8-DE85-E98F972509EA}"/>
            </a:ext>
          </a:extLst>
        </xdr:cNvPr>
        <xdr:cNvSpPr txBox="1"/>
      </xdr:nvSpPr>
      <xdr:spPr>
        <a:xfrm>
          <a:off x="14050907" y="1410104"/>
          <a:ext cx="20382837" cy="245169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0" b="1">
              <a:latin typeface="Arial" panose="020B0604020202020204" pitchFamily="34" charset="0"/>
              <a:cs typeface="Arial" panose="020B0604020202020204" pitchFamily="34" charset="0"/>
            </a:rPr>
            <a:t>CONDITIONING: </a:t>
          </a:r>
        </a:p>
        <a:p>
          <a:r>
            <a:rPr lang="en-US" sz="8000" b="1">
              <a:latin typeface="Arial" panose="020B0604020202020204" pitchFamily="34" charset="0"/>
              <a:cs typeface="Arial" panose="020B0604020202020204" pitchFamily="34" charset="0"/>
            </a:rPr>
            <a:t>TRANSPORT AND STORAGE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18775</xdr:colOff>
      <xdr:row>0</xdr:row>
      <xdr:rowOff>588099</xdr:rowOff>
    </xdr:from>
    <xdr:to>
      <xdr:col>9</xdr:col>
      <xdr:colOff>267512</xdr:colOff>
      <xdr:row>0</xdr:row>
      <xdr:rowOff>1281850</xdr:rowOff>
    </xdr:to>
    <xdr:sp macro="" textlink="">
      <xdr:nvSpPr>
        <xdr:cNvPr id="4" name="TextBox 9">
          <a:extLst>
            <a:ext uri="{FF2B5EF4-FFF2-40B4-BE49-F238E27FC236}">
              <a16:creationId xmlns:a16="http://schemas.microsoft.com/office/drawing/2014/main" id="{DA45A961-5850-BB30-7400-54E89DD18384}"/>
            </a:ext>
          </a:extLst>
        </xdr:cNvPr>
        <xdr:cNvSpPr txBox="1"/>
      </xdr:nvSpPr>
      <xdr:spPr>
        <a:xfrm>
          <a:off x="5893795" y="588099"/>
          <a:ext cx="7876357" cy="69375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4000" b="1">
              <a:latin typeface="Arial" panose="020B0604020202020204" pitchFamily="34" charset="0"/>
              <a:cs typeface="Arial" panose="020B0604020202020204" pitchFamily="34" charset="0"/>
            </a:rPr>
            <a:t>CONDITIONING SUMMARY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2247899</xdr:colOff>
      <xdr:row>31</xdr:row>
      <xdr:rowOff>47625</xdr:rowOff>
    </xdr:from>
    <xdr:to>
      <xdr:col>12</xdr:col>
      <xdr:colOff>1302299</xdr:colOff>
      <xdr:row>46</xdr:row>
      <xdr:rowOff>138750</xdr:rowOff>
    </xdr:to>
    <xdr:graphicFrame macro="">
      <xdr:nvGraphicFramePr>
        <xdr:cNvPr id="5" name="Chart 4">
          <a:extLst>
            <a:ext uri="{FF2B5EF4-FFF2-40B4-BE49-F238E27FC236}">
              <a16:creationId xmlns:a16="http://schemas.microsoft.com/office/drawing/2014/main" id="{3BA7155F-B8B2-1DCB-27AE-9FCE5B4C1B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2238375</xdr:colOff>
      <xdr:row>47</xdr:row>
      <xdr:rowOff>90487</xdr:rowOff>
    </xdr:from>
    <xdr:to>
      <xdr:col>12</xdr:col>
      <xdr:colOff>1292775</xdr:colOff>
      <xdr:row>63</xdr:row>
      <xdr:rowOff>19687</xdr:rowOff>
    </xdr:to>
    <xdr:graphicFrame macro="">
      <xdr:nvGraphicFramePr>
        <xdr:cNvPr id="4" name="Chart 3">
          <a:extLst>
            <a:ext uri="{FF2B5EF4-FFF2-40B4-BE49-F238E27FC236}">
              <a16:creationId xmlns:a16="http://schemas.microsoft.com/office/drawing/2014/main" id="{5A9FE1E2-960B-10E9-0E37-00A14E3BEE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2247900</xdr:colOff>
      <xdr:row>64</xdr:row>
      <xdr:rowOff>42862</xdr:rowOff>
    </xdr:from>
    <xdr:to>
      <xdr:col>12</xdr:col>
      <xdr:colOff>1302300</xdr:colOff>
      <xdr:row>79</xdr:row>
      <xdr:rowOff>133987</xdr:rowOff>
    </xdr:to>
    <xdr:graphicFrame macro="">
      <xdr:nvGraphicFramePr>
        <xdr:cNvPr id="7" name="Chart 6">
          <a:extLst>
            <a:ext uri="{FF2B5EF4-FFF2-40B4-BE49-F238E27FC236}">
              <a16:creationId xmlns:a16="http://schemas.microsoft.com/office/drawing/2014/main" id="{685C2247-1E86-4DBB-45DF-151B26C189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80</xdr:row>
      <xdr:rowOff>52387</xdr:rowOff>
    </xdr:from>
    <xdr:to>
      <xdr:col>8</xdr:col>
      <xdr:colOff>19050</xdr:colOff>
      <xdr:row>95</xdr:row>
      <xdr:rowOff>143512</xdr:rowOff>
    </xdr:to>
    <xdr:graphicFrame macro="">
      <xdr:nvGraphicFramePr>
        <xdr:cNvPr id="8" name="Chart 7">
          <a:extLst>
            <a:ext uri="{FF2B5EF4-FFF2-40B4-BE49-F238E27FC236}">
              <a16:creationId xmlns:a16="http://schemas.microsoft.com/office/drawing/2014/main" id="{B1BEDA7E-DE96-74E4-A1AD-99D805074E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276225</xdr:colOff>
      <xdr:row>80</xdr:row>
      <xdr:rowOff>47625</xdr:rowOff>
    </xdr:from>
    <xdr:to>
      <xdr:col>13</xdr:col>
      <xdr:colOff>26895</xdr:colOff>
      <xdr:row>95</xdr:row>
      <xdr:rowOff>138750</xdr:rowOff>
    </xdr:to>
    <xdr:graphicFrame macro="">
      <xdr:nvGraphicFramePr>
        <xdr:cNvPr id="2" name="Chart 1">
          <a:extLst>
            <a:ext uri="{FF2B5EF4-FFF2-40B4-BE49-F238E27FC236}">
              <a16:creationId xmlns:a16="http://schemas.microsoft.com/office/drawing/2014/main" id="{25A9B6E2-6A28-4DCA-93A8-6AAA20A46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1587020</xdr:colOff>
      <xdr:row>1</xdr:row>
      <xdr:rowOff>7620</xdr:rowOff>
    </xdr:from>
    <xdr:to>
      <xdr:col>9</xdr:col>
      <xdr:colOff>0</xdr:colOff>
      <xdr:row>1</xdr:row>
      <xdr:rowOff>1292693</xdr:rowOff>
    </xdr:to>
    <xdr:sp macro="" textlink="">
      <xdr:nvSpPr>
        <xdr:cNvPr id="7" name="TextBox 9">
          <a:extLst>
            <a:ext uri="{FF2B5EF4-FFF2-40B4-BE49-F238E27FC236}">
              <a16:creationId xmlns:a16="http://schemas.microsoft.com/office/drawing/2014/main" id="{6EDE756F-BE3B-AF67-68AA-6B3EA5A61D70}"/>
            </a:ext>
          </a:extLst>
        </xdr:cNvPr>
        <xdr:cNvSpPr txBox="1"/>
      </xdr:nvSpPr>
      <xdr:spPr>
        <a:xfrm>
          <a:off x="5076980" y="236220"/>
          <a:ext cx="11435560" cy="128507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4000" b="1">
              <a:latin typeface="Arial" panose="020B0604020202020204" pitchFamily="34" charset="0"/>
              <a:cs typeface="Arial" panose="020B0604020202020204" pitchFamily="34" charset="0"/>
            </a:rPr>
            <a:t>Hidden Lists and Summaries</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1313</xdr:rowOff>
    </xdr:from>
    <xdr:to>
      <xdr:col>2</xdr:col>
      <xdr:colOff>2441296</xdr:colOff>
      <xdr:row>1</xdr:row>
      <xdr:rowOff>1294685</xdr:rowOff>
    </xdr:to>
    <xdr:pic>
      <xdr:nvPicPr>
        <xdr:cNvPr id="9" name="Picture 8">
          <a:extLst>
            <a:ext uri="{FF2B5EF4-FFF2-40B4-BE49-F238E27FC236}">
              <a16:creationId xmlns:a16="http://schemas.microsoft.com/office/drawing/2014/main" id="{B82A0666-836A-4268-84B7-12DC773EE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229913"/>
          <a:ext cx="6011810" cy="129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xdr:row>
      <xdr:rowOff>333582</xdr:rowOff>
    </xdr:from>
    <xdr:to>
      <xdr:col>4</xdr:col>
      <xdr:colOff>606332</xdr:colOff>
      <xdr:row>1</xdr:row>
      <xdr:rowOff>962416</xdr:rowOff>
    </xdr:to>
    <xdr:sp macro="" textlink="">
      <xdr:nvSpPr>
        <xdr:cNvPr id="10" name="TextBox 9">
          <a:extLst>
            <a:ext uri="{FF2B5EF4-FFF2-40B4-BE49-F238E27FC236}">
              <a16:creationId xmlns:a16="http://schemas.microsoft.com/office/drawing/2014/main" id="{24EF0D99-16C3-45DE-815B-1BE479954BAB}"/>
            </a:ext>
          </a:extLst>
        </xdr:cNvPr>
        <xdr:cNvSpPr txBox="1"/>
      </xdr:nvSpPr>
      <xdr:spPr>
        <a:xfrm>
          <a:off x="8001000" y="562182"/>
          <a:ext cx="4655818" cy="628834"/>
        </a:xfrm>
        <a:prstGeom prst="rect">
          <a:avLst/>
        </a:prstGeom>
        <a:noFill/>
      </xdr:spPr>
      <xdr:txBody>
        <a:bodyPr wrap="square"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3600" b="1">
              <a:latin typeface="Arial" panose="020B0604020202020204" pitchFamily="34" charset="0"/>
              <a:cs typeface="Arial" panose="020B0604020202020204" pitchFamily="34" charset="0"/>
            </a:rPr>
            <a:t>KEY</a:t>
          </a:r>
          <a:r>
            <a:rPr lang="en-US" sz="3600" b="1" baseline="0">
              <a:latin typeface="Arial" panose="020B0604020202020204" pitchFamily="34" charset="0"/>
              <a:cs typeface="Arial" panose="020B0604020202020204" pitchFamily="34" charset="0"/>
            </a:rPr>
            <a:t> VALUES</a:t>
          </a:r>
          <a:endParaRPr lang="en-US" sz="3600" b="1">
            <a:latin typeface="Arial" panose="020B0604020202020204" pitchFamily="34" charset="0"/>
            <a:cs typeface="Arial" panose="020B0604020202020204" pitchFamily="34" charset="0"/>
          </a:endParaRP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2D371E0-820C-492A-946A-9C2AC5E350B4}" name="Table46" displayName="Table46" ref="C78:E84" totalsRowShown="0">
  <autoFilter ref="C78:E84" xr:uid="{B2D371E0-820C-492A-946A-9C2AC5E350B4}"/>
  <tableColumns count="3">
    <tableColumn id="1" xr3:uid="{0D0657CF-203A-48FE-A49E-58B7E8F06FC5}" name="Item"/>
    <tableColumn id="3" xr3:uid="{593B5E1F-9B9C-45DD-A42D-4599CCA5E22B}" name="Quantity (kg or L)"/>
    <tableColumn id="4" xr3:uid="{5F6B7DC3-BBE5-471D-97B6-D57BDA911466}" name="EF (kg CO2-e/kg or 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6166704-5B86-4E39-8217-7786621E0B84}" name="ElectrolysisReportingItemsTable" displayName="ElectrolysisReportingItemsTable" ref="E163:I291" totalsRowShown="0" headerRowDxfId="620" headerRowCellStyle="Comma">
  <autoFilter ref="E163:I291" xr:uid="{16166704-5B86-4E39-8217-7786621E0B84}"/>
  <tableColumns count="5">
    <tableColumn id="1" xr3:uid="{BC6DD3EA-F97B-4DF5-AA97-C865CD2F334D}" name="Pathway"/>
    <tableColumn id="2" xr3:uid="{7B48FF5C-D830-4D2D-AB2C-32508B828F64}" name="Reporting Item"/>
    <tableColumn id="3" xr3:uid="{81BF653C-0113-4B19-9D99-8DE67E392479}" name="Value1"/>
    <tableColumn id="4" xr3:uid="{9E5A5F2A-3426-47BE-AD27-5BD81E24BC25}" name="Value2"/>
    <tableColumn id="5" xr3:uid="{8169645A-4C0A-4C12-9E7E-DD01CC71CB56}" name="Value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C9D9215-B5F3-4ED6-BD79-233F1354D00A}" name="ElectrolysisEmissionsBreakdown" displayName="ElectrolysisEmissionsBreakdown" ref="E294:I321" totalsRowShown="0" headerRowDxfId="619" headerRowCellStyle="Comma">
  <autoFilter ref="E294:I321" xr:uid="{FC9D9215-B5F3-4ED6-BD79-233F1354D00A}"/>
  <tableColumns count="5">
    <tableColumn id="1" xr3:uid="{63A8328B-975F-4293-A610-309CDBFF8360}" name="Major category">
      <calculatedColumnFormula>'Key Values'!B317</calculatedColumnFormula>
    </tableColumn>
    <tableColumn id="2" xr3:uid="{0A03E618-491A-47F1-B67E-9F2296A92EA6}" name="Breakdown Sub Category" dataDxfId="618" dataCellStyle="Comma"/>
    <tableColumn id="3" xr3:uid="{D9FC7E6A-6F21-4AF5-A042-3E2B05FDDDF0}" name="EI (kg/ t)" dataDxfId="617" dataCellStyle="Comma">
      <calculatedColumnFormula>H295/electrolysis_hydrogenProductionQuantity</calculatedColumnFormula>
    </tableColumn>
    <tableColumn id="4" xr3:uid="{B59E77E5-177F-4B9A-9E30-C683603ABC1F}" name="Emissions (kg CO2-e)" dataDxfId="616">
      <calculatedColumnFormula>SUMIFS(AI$28:AI$115, AK$28:AK$115, E295)+SUMIFS(AJ$28:AJ$115,AL$28:AL$115,E295)</calculatedColumnFormula>
    </tableColumn>
    <tableColumn id="5" xr3:uid="{26030E1B-947A-4EF2-AB2F-7674A72BC007}" name="Graph"/>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E448617-5CC3-4BC6-A769-1D7299388EE6}" name="ReformingReportingItemsTable" displayName="ReformingReportingItemsTable" ref="E194:I322" totalsRowShown="0" headerRowDxfId="615" dataDxfId="614" headerRowCellStyle="Comma">
  <autoFilter ref="E194:I322" xr:uid="{CE448617-5CC3-4BC6-A769-1D7299388EE6}"/>
  <tableColumns count="5">
    <tableColumn id="1" xr3:uid="{0141FC50-EEA8-4C9F-B386-771FB9B1E03A}" name="Pathway" dataDxfId="613"/>
    <tableColumn id="2" xr3:uid="{1C772842-CDCB-4B75-98F0-2DC24DF667F4}" name="Reporting Item" dataDxfId="612"/>
    <tableColumn id="3" xr3:uid="{5C09DDD2-86C9-4A45-BF99-7BE0376FF9B0}" name="Value1" dataDxfId="611"/>
    <tableColumn id="4" xr3:uid="{849FFF1A-A480-48D0-B42A-DCC053D891D1}" name="Value2" dataDxfId="610"/>
    <tableColumn id="5" xr3:uid="{2ACFF579-012F-465A-A06A-D114E914CFBF}" name="Value3" dataDxfId="60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79F4562-8217-4E9A-9853-DA65B178E8DB}" name="reformingEmissionsBreakdown" displayName="reformingEmissionsBreakdown" ref="E325:I352" totalsRowShown="0" headerRowDxfId="608" dataDxfId="607" headerRowCellStyle="Comma">
  <autoFilter ref="E325:I352" xr:uid="{B79F4562-8217-4E9A-9853-DA65B178E8DB}"/>
  <tableColumns count="5">
    <tableColumn id="1" xr3:uid="{A8E7B034-B32E-4479-905A-F8157E1915EB}" name="Major category" dataDxfId="606">
      <calculatedColumnFormula>'Key Values'!$B316</calculatedColumnFormula>
    </tableColumn>
    <tableColumn id="2" xr3:uid="{D57008F4-D42F-46D6-A642-B04EA684E8E8}" name="Breakdown Sub category" dataDxfId="605"/>
    <tableColumn id="3" xr3:uid="{566984E7-E643-496F-8063-32F774CF2224}" name="EI (kg/ t)" dataDxfId="604" dataCellStyle="Comma">
      <calculatedColumnFormula>H326/reforming_hydrogenProductionQuantity</calculatedColumnFormula>
    </tableColumn>
    <tableColumn id="4" xr3:uid="{0EE0549C-6BEE-4BB7-AADA-1B93A5040041}" name="Emissions (kg CO2-e)" dataDxfId="603">
      <calculatedColumnFormula>SUMIFS(AH$38:AH$152,AJ$38:AJ$152,E326)+SUMIFS(AI$38:AI$152,AK$38:AK$152,E326)</calculatedColumnFormula>
    </tableColumn>
    <tableColumn id="5" xr3:uid="{D2604A70-8B6F-487F-B99A-E956007CA003}" name="Graph" dataDxfId="602" dataCellStyle="Comm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0426541-E98E-49CB-8BCB-C5DBDD439107}" name="GasificationReportingItemsTable" displayName="GasificationReportingItemsTable" ref="E233:I358" totalsRowShown="0" headerRowDxfId="601" dataDxfId="600" headerRowCellStyle="Comma">
  <autoFilter ref="E233:I358" xr:uid="{A0426541-E98E-49CB-8BCB-C5DBDD439107}"/>
  <tableColumns count="5">
    <tableColumn id="1" xr3:uid="{AAC03098-A556-4E96-84BB-C6EFA74FC816}" name="Pathway" dataDxfId="599"/>
    <tableColumn id="2" xr3:uid="{7CC52F72-A395-4FF6-BA63-FB29FADF2886}" name="Reporting Item" dataDxfId="598"/>
    <tableColumn id="3" xr3:uid="{3B03950C-14F1-4A63-9A78-7AA20E69AB82}" name="Value1" dataDxfId="597"/>
    <tableColumn id="4" xr3:uid="{8A8449E2-D761-4267-A988-956A802483E5}" name="Value2" dataDxfId="596"/>
    <tableColumn id="5" xr3:uid="{9629C46B-DA0A-4BA9-894B-58A34184D1D3}" name="Value3" dataDxfId="59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8029AD1-B5A8-474F-8810-692D909AB368}" name="gasificationEmissionsBreakdown" displayName="gasificationEmissionsBreakdown" ref="E361:I388" totalsRowShown="0" headerRowDxfId="594" dataDxfId="593" headerRowCellStyle="Comma">
  <autoFilter ref="E361:I388" xr:uid="{58029AD1-B5A8-474F-8810-692D909AB368}"/>
  <tableColumns count="5">
    <tableColumn id="1" xr3:uid="{C0363F4F-A5E4-4374-BD45-131FCCA02FD5}" name="Major category" dataDxfId="592">
      <calculatedColumnFormula>'Key Values'!B316</calculatedColumnFormula>
    </tableColumn>
    <tableColumn id="2" xr3:uid="{A4D46FFF-7422-4DE0-8D0F-D44A345A0A06}" name="Breakdown Sub category" dataDxfId="591"/>
    <tableColumn id="3" xr3:uid="{53F41C9E-0A98-4817-B1A1-DBEC7615D1EF}" name="EI (kg/ t)" dataDxfId="590" dataCellStyle="Comma">
      <calculatedColumnFormula>H362/gasification_hydrogenProductionQuantity</calculatedColumnFormula>
    </tableColumn>
    <tableColumn id="4" xr3:uid="{B39ABF67-89C5-4AEC-926A-26D54AC2DF5D}" name="Emissions (kg CO2-e)" dataDxfId="589">
      <calculatedColumnFormula>SUMIFS($AH$37:$AH$162,$AJ$37:$AJ$162,E362)+SUMIFS($AI$37:$AI$162,$AK$37:$AK$162,E362)</calculatedColumnFormula>
    </tableColumn>
    <tableColumn id="5" xr3:uid="{20183650-414B-47AF-B39B-D29B030D266E}" name="Graph" dataDxfId="588" dataCellStyle="Comm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CD08EC9-84A9-4A17-9A3B-A0BB1E232A01}" name="Table7837" displayName="Table7837" ref="F110:I127" totalsRowShown="0" headerRowDxfId="587" dataDxfId="586" tableBorderDxfId="585">
  <autoFilter ref="F110:I127" xr:uid="{5CD08EC9-84A9-4A17-9A3B-A0BB1E232A01}"/>
  <tableColumns count="4">
    <tableColumn id="1" xr3:uid="{B53E932E-3620-44A5-B62F-427E4323E691}" name="Component" dataDxfId="584"/>
    <tableColumn id="2" xr3:uid="{E9845AD1-CE2F-4ACC-9A1E-CBC4590C3456}" name="Line Item" dataDxfId="583"/>
    <tableColumn id="3" xr3:uid="{A6981C6C-B946-46EF-865C-74676AD35F61}" name="Value" dataDxfId="582"/>
    <tableColumn id="4" xr3:uid="{408C681B-E8AB-40A2-A4A9-7CB2471D45CA}" name="Units" dataDxfId="58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C4D46DD-CE16-416D-9920-FF707EDDE4BC}" name="AmmoniaReportingItemsTable" displayName="AmmoniaReportingItemsTable" ref="E164:I253" totalsRowShown="0" headerRowDxfId="580" dataDxfId="579">
  <autoFilter ref="E164:I253" xr:uid="{6C4D46DD-CE16-416D-9920-FF707EDDE4BC}"/>
  <tableColumns count="5">
    <tableColumn id="1" xr3:uid="{7E77442D-D5C5-4189-85FF-15943A7B99ED}" name="Pathway" dataDxfId="578"/>
    <tableColumn id="2" xr3:uid="{B4BC80B9-599F-4876-B6E9-47E690B4070F}" name="Reporting Item" dataDxfId="577"/>
    <tableColumn id="3" xr3:uid="{B9A709ED-6E6C-488D-8716-4CD58CC6B3EC}" name="Value1" dataDxfId="576"/>
    <tableColumn id="4" xr3:uid="{D9FB99C6-9121-4157-94C1-EB89D473AA83}" name="Value2" dataDxfId="575"/>
    <tableColumn id="5" xr3:uid="{3430B9C9-8660-47F0-91D0-F7074BE9507C}" name="Value3" dataDxfId="57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2F38191-B0A9-4141-8613-06B5573EFB05}" name="ammoniaEmissionsBreakdown" displayName="ammoniaEmissionsBreakdown" ref="E256:I282" totalsRowShown="0" headerRowDxfId="573" dataDxfId="572" headerRowCellStyle="Comma">
  <autoFilter ref="E256:I282" xr:uid="{D2F38191-B0A9-4141-8613-06B5573EFB05}"/>
  <tableColumns count="5">
    <tableColumn id="1" xr3:uid="{62E293DF-CF91-48BB-867A-EC3558857993}" name="Major category" dataDxfId="571">
      <calculatedColumnFormula>'Key Values'!B317</calculatedColumnFormula>
    </tableColumn>
    <tableColumn id="2" xr3:uid="{C52C3B33-AF89-4425-B093-0D132701B5B6}" name="Breakdown Sub category" dataDxfId="570"/>
    <tableColumn id="5" xr3:uid="{54C7BD89-4B54-4EF0-86A5-77092B5D8D29}" name="EI (kg/ t)" dataDxfId="569">
      <calculatedColumnFormula>ammoniaEmissionsBreakdown[[#This Row],[Emissions (kg CO2-e)]]/amm_quantityProduced_tonnes</calculatedColumnFormula>
    </tableColumn>
    <tableColumn id="3" xr3:uid="{BF760A29-F936-42DF-A73A-1411FC0A0A83}" name="Emissions (kg CO2-e)" dataDxfId="568">
      <calculatedColumnFormula>SUMIFS($AH$36:$AH$115,$AJ$36:$AJ$115,E257)+SUMIFS($AI$36:$AI$115,$AK$36:$AK$115,E257)</calculatedColumnFormula>
    </tableColumn>
    <tableColumn id="4" xr3:uid="{AF1B9B21-85C9-411E-8CC1-9CCCBB7A1566}" name="Graph" dataDxfId="56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91A7F3-E401-48C4-8BF3-F6E1177939E6}" name="HydrogenLiquefactionReportingItemsTable" displayName="HydrogenLiquefactionReportingItemsTable" ref="E165:I254" totalsRowShown="0">
  <autoFilter ref="E165:I254" xr:uid="{0091A7F3-E401-48C4-8BF3-F6E1177939E6}"/>
  <tableColumns count="5">
    <tableColumn id="1" xr3:uid="{8578F644-7EB6-45CF-B026-73B780A743F0}" name="Pathway"/>
    <tableColumn id="2" xr3:uid="{3F8E86AD-91FD-4FEF-A5C5-747E3501CFC6}" name="Reporting Item"/>
    <tableColumn id="3" xr3:uid="{1A768D63-8F3B-4FF7-BF9D-2B9D924A9E9A}" name="Value1"/>
    <tableColumn id="4" xr3:uid="{E261CA43-F0F2-4459-B81A-E595B37EDAD9}" name="Value2"/>
    <tableColumn id="5" xr3:uid="{DF1F4351-D916-46B2-9530-34E986F5128A}" name="Value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1302810-7837-4DB1-ADFF-41C26A9CDC67}" name="HydrogenLiquefactionEmissionsBreakdown" displayName="HydrogenLiquefactionEmissionsBreakdown" ref="E257:I283" totalsRowShown="0" headerRowDxfId="566" headerRowBorderDxfId="565" tableBorderDxfId="564" headerRowCellStyle="Comma">
  <autoFilter ref="E257:I283" xr:uid="{51302810-7837-4DB1-ADFF-41C26A9CDC67}"/>
  <tableColumns count="5">
    <tableColumn id="1" xr3:uid="{691FBC18-2A06-44CB-A261-721DD63CEC28}" name="Major category">
      <calculatedColumnFormula>'Key Values'!#REF!</calculatedColumnFormula>
    </tableColumn>
    <tableColumn id="2" xr3:uid="{FFE0A72E-175C-4763-9989-0025647FBFD8}" name="Breakdown Sub category"/>
    <tableColumn id="3" xr3:uid="{C056E46F-3CD9-42A7-89DB-6804E56F2731}" name="EI (kg/ t)" dataDxfId="563" dataCellStyle="Comma">
      <calculatedColumnFormula>H258/liqHydrogen_quantityProduced_tonnes</calculatedColumnFormula>
    </tableColumn>
    <tableColumn id="4" xr3:uid="{41E1D021-05D5-4A2D-9228-8BCD0C804DB5}" name="Emissions (kg CO2-e)" dataDxfId="562">
      <calculatedColumnFormula>SUMIFS($AH$36:$AH$115,$AJ$36:$AJ$115,E258)+SUMIFS($AI$36:$AI$115,$AK$36:$AK$115,E258)</calculatedColumnFormula>
    </tableColumn>
    <tableColumn id="5" xr3:uid="{8A7A7656-D5A8-485E-84E4-10618F5C495F}" name="Graph"/>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F3F3FCEB-E6A2-477E-AC48-8B0C44A72B5E}" name="LOHCHydrogenationReportingItemsTable" displayName="LOHCHydrogenationReportingItemsTable" ref="E178:I269" totalsRowShown="0" headerRowDxfId="561" headerRowCellStyle="Comma">
  <autoFilter ref="E178:I269" xr:uid="{F3F3FCEB-E6A2-477E-AC48-8B0C44A72B5E}"/>
  <tableColumns count="5">
    <tableColumn id="1" xr3:uid="{C40F346E-2681-45BC-860B-26AD5AC0EB53}" name="Pathway"/>
    <tableColumn id="2" xr3:uid="{3B325818-7797-4740-9D9F-133540814047}" name="Reporting Item"/>
    <tableColumn id="3" xr3:uid="{72B15792-1D69-4054-AD1D-CDC4D7788AA5}" name="Value1"/>
    <tableColumn id="4" xr3:uid="{70FD3429-0606-4F71-8205-04EDBE218BF1}" name="Value2"/>
    <tableColumn id="5" xr3:uid="{C7AB12FE-DAA3-4EC7-B435-C13C28FD3674}" name="Value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348C566-88E2-43AC-A898-991A48681B34}" name="LOHCHydrogenationEmissionsBreakdown" displayName="LOHCHydrogenationEmissionsBreakdown" ref="E272:I299" totalsRowShown="0" headerRowDxfId="560" headerRowCellStyle="Comma">
  <autoFilter ref="E272:I299" xr:uid="{E348C566-88E2-43AC-A898-991A48681B34}"/>
  <tableColumns count="5">
    <tableColumn id="1" xr3:uid="{2F7E15BF-C39F-4CE8-84AB-80066762AE30}" name="Major category">
      <calculatedColumnFormula>'Key Values'!B316</calculatedColumnFormula>
    </tableColumn>
    <tableColumn id="2" xr3:uid="{575CC339-E500-4029-8154-6B76B42ABFDC}" name="Breakdown Sub category"/>
    <tableColumn id="3" xr3:uid="{D0A6B354-9896-4524-9A29-F54703EAA0BD}" name="EI (kg/ t)" dataDxfId="559" dataCellStyle="Comma">
      <calculatedColumnFormula>H273/lohcProd_quantityProduced_tonnes</calculatedColumnFormula>
    </tableColumn>
    <tableColumn id="4" xr3:uid="{45F7FB05-8011-4C95-A6E0-A76A48C825E5}" name="Emissions (kg CO2-e)" dataDxfId="558">
      <calculatedColumnFormula>SUMIFS($AH$36:$AH$124,$AJ$36:$AJ$124,E273)+SUMIFS($AI$36:$AI$124,$AK$36:$AK$124,E273)</calculatedColumnFormula>
    </tableColumn>
    <tableColumn id="5" xr3:uid="{48AEE410-D9C7-4937-9F2A-B3F5F19497AB}" name="Graph" dataDxfId="557" dataCellStyle="Comma"/>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FF8FE22-18EF-45B6-9F5F-68599356BEBD}" name="Table783766" displayName="Table783766" ref="F110:I127" totalsRowShown="0" headerRowDxfId="556" dataDxfId="555" tableBorderDxfId="554">
  <autoFilter ref="F110:I127" xr:uid="{6FF8FE22-18EF-45B6-9F5F-68599356BEBD}"/>
  <tableColumns count="4">
    <tableColumn id="1" xr3:uid="{F7AC0788-7655-4C61-B942-9F7E958F0790}" name="Component" dataDxfId="553"/>
    <tableColumn id="2" xr3:uid="{DF6A404C-1808-4085-8C6E-50D9B140CD7D}" name="Line Item" dataDxfId="552"/>
    <tableColumn id="3" xr3:uid="{84E97D83-8433-4EB7-B6E9-8C85C64C2ED8}" name="Value" dataDxfId="551"/>
    <tableColumn id="4" xr3:uid="{EB776A0F-C4D5-41FB-AE92-0B8FDDB5297A}" name="Units" dataDxfId="55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B80A657-F436-46ED-9997-3CF85C59128A}" name="AmmoniaCrackingReportingItemsTable" displayName="AmmoniaCrackingReportingItemsTable" ref="E182:I269" totalsRowShown="0" headerRowDxfId="549" dataDxfId="548" headerRowCellStyle="Comma">
  <autoFilter ref="E182:I269" xr:uid="{8B80A657-F436-46ED-9997-3CF85C59128A}"/>
  <tableColumns count="5">
    <tableColumn id="1" xr3:uid="{08BD79B0-30BE-4004-890C-04AF00405E41}" name="Pathway" dataDxfId="547"/>
    <tableColumn id="2" xr3:uid="{DD24D328-C95B-4FBE-A27F-3FB28870A190}" name="Reporting Item" dataDxfId="546"/>
    <tableColumn id="3" xr3:uid="{84BF3506-4370-460B-BF5D-4BBA64056CE0}" name="Value1" dataDxfId="545"/>
    <tableColumn id="4" xr3:uid="{749AAB2D-2AA2-4523-82DE-E288313AD9F9}" name="Value2" dataDxfId="544"/>
    <tableColumn id="5" xr3:uid="{5C187A88-D2BC-48E4-ABFB-60491A6BFDF6}" name="Value3" dataDxfId="54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2018962E-7FB9-4408-BE53-C7E76DE44322}" name="AmmoniaCrackingEmissionsBreakdown" displayName="AmmoniaCrackingEmissionsBreakdown" ref="E272:I294" totalsRowShown="0" headerRowDxfId="542" dataDxfId="540" headerRowBorderDxfId="541" tableBorderDxfId="539" headerRowCellStyle="Comma">
  <autoFilter ref="E272:I294" xr:uid="{2018962E-7FB9-4408-BE53-C7E76DE44322}"/>
  <tableColumns count="5">
    <tableColumn id="1" xr3:uid="{7C837CE2-9E2F-43FD-ACD2-CE5143ACFE14}" name="Major category" dataDxfId="538">
      <calculatedColumnFormula>'Key Values'!B317</calculatedColumnFormula>
    </tableColumn>
    <tableColumn id="2" xr3:uid="{5FF5E5B5-BECD-44A3-87E1-9CE9F3924679}" name="Breakdown Sub category" dataDxfId="537"/>
    <tableColumn id="3" xr3:uid="{95AE7FCF-986B-4730-AB70-22A9F4B06DE1}" name="EI (kg/ t)" dataDxfId="536" dataCellStyle="Comma">
      <calculatedColumnFormula>H273/ammCrack_quantityProduced_tonnes</calculatedColumnFormula>
    </tableColumn>
    <tableColumn id="4" xr3:uid="{6E20F288-7B10-405C-84AB-48F64A65D410}" name="Emissions (kg CO2-e)" dataDxfId="535">
      <calculatedColumnFormula>SUMIFS($AH$35:$AH$134,$AJ$35:$AJ$134,E273)+SUMIFS($AI$35:$AI$134,$AK$35:$AK$134,E273)</calculatedColumnFormula>
    </tableColumn>
    <tableColumn id="5" xr3:uid="{DB3AD4D8-3552-4E8F-BC5F-3CAAED788DB8}" name="Graph" dataDxfId="534" dataCellStyle="Comma"/>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4D62F818-D37D-477B-B658-CDCC10ADAC7E}" name="LOHCDehydrogenationReportingItemsTable" displayName="LOHCDehydrogenationReportingItemsTable" ref="E184:I272" totalsRowShown="0" headerRowDxfId="533" dataDxfId="532" headerRowCellStyle="Comma">
  <autoFilter ref="E184:I272" xr:uid="{4D62F818-D37D-477B-B658-CDCC10ADAC7E}"/>
  <tableColumns count="5">
    <tableColumn id="1" xr3:uid="{4D160421-FC2C-4A2C-B6DF-89BE5D2D8FA2}" name="Pathway" dataDxfId="531"/>
    <tableColumn id="2" xr3:uid="{714DC564-E8BD-49DD-8AB9-08FB8D7AD1D4}" name="Reporting Item" dataDxfId="530"/>
    <tableColumn id="3" xr3:uid="{0A1BF8C1-2394-4D22-B91E-858798C13261}" name="Value1" dataDxfId="529"/>
    <tableColumn id="4" xr3:uid="{A2BE02A3-E17D-4BEA-9DBE-33B4E5F764EA}" name="Value2" dataDxfId="528"/>
    <tableColumn id="5" xr3:uid="{C2ED005C-6D8F-4864-A3CD-44D0AE8EE2C0}" name="Value3" dataDxfId="52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CFB3F992-613D-42F7-88E5-852D2D64AE44}" name="LOHCDehydrogenationEmissionsBreakdown" displayName="LOHCDehydrogenationEmissionsBreakdown" ref="E275:I297" totalsRowShown="0" headerRowDxfId="526" dataDxfId="524" headerRowBorderDxfId="525" tableBorderDxfId="523" headerRowCellStyle="Comma">
  <autoFilter ref="E275:I297" xr:uid="{CFB3F992-613D-42F7-88E5-852D2D64AE44}"/>
  <tableColumns count="5">
    <tableColumn id="1" xr3:uid="{55E184E3-EF56-4F19-B65C-CAF9BBA27A60}" name="Major category" dataDxfId="522">
      <calculatedColumnFormula>'Key Values'!B317</calculatedColumnFormula>
    </tableColumn>
    <tableColumn id="2" xr3:uid="{0B57ACC6-5A74-42BE-AFE7-8B49C6DA8439}" name="Breakdown Sub category" dataDxfId="521"/>
    <tableColumn id="3" xr3:uid="{0AB01A6D-53D0-4E0C-989F-FC69A734D85A}" name="EI (kg/ t)" dataDxfId="520" dataCellStyle="Comma">
      <calculatedColumnFormula>H276/lohcDehyd_quantityProduced_tonnes</calculatedColumnFormula>
    </tableColumn>
    <tableColumn id="4" xr3:uid="{E88327B9-3189-4762-BAB3-8D4CC7B4D56C}" name="Emissions (kg CO2-e)" dataDxfId="519">
      <calculatedColumnFormula>SUMIFS($AH$36:$AH$135,$AJ$36:$AJ$135,E276)+SUMIFS($AI$36:$AI$135,$AK$36:$AK$135,E276)</calculatedColumnFormula>
    </tableColumn>
    <tableColumn id="5" xr3:uid="{C5D745ED-CA7D-4B77-9716-E9C59AAD321C}" name="Graph" dataDxfId="518" dataCellStyle="Comma"/>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C5A6D88-97A8-40C8-AD15-6F78F45A741D}" name="Table783778" displayName="Table783778" ref="F110:I127" totalsRowShown="0" headerRowDxfId="517" dataDxfId="516" tableBorderDxfId="515">
  <autoFilter ref="F110:I127" xr:uid="{8C5A6D88-97A8-40C8-AD15-6F78F45A741D}"/>
  <tableColumns count="4">
    <tableColumn id="1" xr3:uid="{6541CACF-BDCD-4730-A5DC-CF45251FEF61}" name="Component" dataDxfId="514"/>
    <tableColumn id="2" xr3:uid="{C009AA07-3C6A-4652-A5EA-B774EA5FE259}" name="Line Item" dataDxfId="513"/>
    <tableColumn id="3" xr3:uid="{9625AB0B-C890-4F64-B8E7-F60497F01343}" name="Value" dataDxfId="512"/>
    <tableColumn id="4" xr3:uid="{6EC3C5A3-ECDA-4E07-9E95-CCACF33C1FF4}" name="Units" dataDxfId="51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64B1BC8-9E47-43E0-9A93-980E9969D776}" name="Table33" displayName="Table33" ref="B4:B11" totalsRowShown="0" headerRowDxfId="510" dataDxfId="509">
  <autoFilter ref="B4:B11" xr:uid="{164B1BC8-9E47-43E0-9A93-980E9969D776}"/>
  <tableColumns count="1">
    <tableColumn id="1" xr3:uid="{51413C7A-29A9-4361-940B-1ED08432F937}" name="Emission Category" dataDxfId="50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35C8D77-EA0B-49FA-9A60-1E33DB4FB869}" name="Table34" displayName="Table34" ref="B13:B16" totalsRowShown="0" headerRowDxfId="507" dataDxfId="506">
  <autoFilter ref="B13:B16" xr:uid="{F35C8D77-EA0B-49FA-9A60-1E33DB4FB869}"/>
  <tableColumns count="1">
    <tableColumn id="1" xr3:uid="{C97A7AB0-061A-46F0-9C68-A5BE642D4E5E}" name="Pathway Category" dataDxfId="505"/>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F677294-55A7-4889-8FB2-98CA52E4C812}" name="locationList" displayName="locationList" ref="B18:B26" totalsRowShown="0" headerRowDxfId="504" dataDxfId="503">
  <autoFilter ref="B18:B26" xr:uid="{5F677294-55A7-4889-8FB2-98CA52E4C812}"/>
  <tableColumns count="1">
    <tableColumn id="1" xr3:uid="{15F0191B-DB60-4E4C-B9EE-C6124960F938}" name="States" dataDxfId="50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EB0B243-1352-4AEA-8F9F-179381A57604}" name="Table38" displayName="Table38" ref="B28:B34" totalsRowShown="0" headerRowDxfId="501" dataDxfId="500">
  <autoFilter ref="B28:B34" xr:uid="{1EB0B243-1352-4AEA-8F9F-179381A57604}"/>
  <tableColumns count="1">
    <tableColumn id="1" xr3:uid="{5E366320-ACF1-45DD-9552-2BD1BD52292D}" name="Units for Other Feedstock Inputs" dataDxfId="499"/>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7C6BD6F-7841-472A-B14E-9D0CAA5DAB06}" name="Primary_Product_Table" displayName="Primary_Product_Table" ref="B36:C41" totalsRowShown="0" headerRowDxfId="498" dataDxfId="497">
  <autoFilter ref="B36:C41" xr:uid="{57C6BD6F-7841-472A-B14E-9D0CAA5DAB06}"/>
  <tableColumns count="2">
    <tableColumn id="1" xr3:uid="{6FAAB365-692E-4C41-9CD3-4058BDF4E605}" name="Primary Product Options" dataDxfId="496"/>
    <tableColumn id="2" xr3:uid="{E34F1C88-C54C-4E50-A427-0F5872F8DE3F}" name="Shorthand" dataDxfId="49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ABEC2D2-C36C-4174-9137-25333347D8C3}" name="Table40" displayName="Table40" ref="B43:D47" totalsRowShown="0" headerRowDxfId="494" dataDxfId="493">
  <autoFilter ref="B43:D47" xr:uid="{2ABEC2D2-C36C-4174-9137-25333347D8C3}"/>
  <tableColumns count="3">
    <tableColumn id="1" xr3:uid="{5D5FABA6-B99E-478C-AC4F-87CA064F9932}" name="Hydrogen Conditioning Process" dataDxfId="492"/>
    <tableColumn id="2" xr3:uid="{A446D56A-1517-4E45-893D-43347398759B}" name="Product Delivered (kg)" dataDxfId="491"/>
    <tableColumn id="4" xr3:uid="{06A3B51C-08E6-45A5-80B6-BC3361AECD45}" name="Product Emissions Intensity" dataDxfId="49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E1F6F4E5-3DB6-4693-AB97-69541F18D98D}" name="Table41" displayName="Table41" ref="B49:D53" totalsRowShown="0" headerRowDxfId="489" dataDxfId="488">
  <autoFilter ref="B49:D53" xr:uid="{E1F6F4E5-3DB6-4693-AB97-69541F18D98D}"/>
  <tableColumns count="3">
    <tableColumn id="1" xr3:uid="{C5AE8076-9E5B-494D-981F-4A9C3809F333}" name="Production Pathway" dataDxfId="487"/>
    <tableColumn id="2" xr3:uid="{FAF363A9-83A4-4717-8450-02161045B343}" name="Hydrogen Delivered (kg)" dataDxfId="486"/>
    <tableColumn id="4" xr3:uid="{0EE8E552-1660-4FD0-A589-758A48FCEF2F}" name="Hydrogen Emissions Intensity" dataDxfId="48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5A4C946-266E-40D3-B9FB-D5260D0C6B27}" name="Table43" displayName="Table43" ref="B55:B57" totalsRowShown="0" headerRowDxfId="484" dataDxfId="483">
  <autoFilter ref="B55:B57" xr:uid="{95A4C946-266E-40D3-B9FB-D5260D0C6B27}"/>
  <tableColumns count="1">
    <tableColumn id="1" xr3:uid="{EFE7F5AD-AA27-42BB-8E08-EE8A048AB901}" name="LOHC Pathways" dataDxfId="482">
      <calculatedColumnFormula>B40</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EF48878-DA7D-4E89-877C-04044B06B8D7}" name="ElectricityPortionsByPathwayTable" displayName="ElectricityPortionsByPathwayTable" ref="B64:F75" totalsRowShown="0" headerRowDxfId="481" dataDxfId="480">
  <autoFilter ref="B64:F75" xr:uid="{2EF48878-DA7D-4E89-877C-04044B06B8D7}"/>
  <tableColumns count="5">
    <tableColumn id="1" xr3:uid="{C3A71418-7AB1-4D73-B068-C19BCF0BDF2A}" name="Pathway" dataDxfId="479"/>
    <tableColumn id="2" xr3:uid="{14B1E6F3-39B8-4C35-ACBE-CD08B961FB9F}" name="Portion of Total Grid Electricity Used" dataDxfId="478"/>
    <tableColumn id="3" xr3:uid="{1922EE9C-9F30-487F-9F97-17778237130E}" name="Portion of Total Onsite Combustion Electricity Used" dataDxfId="477"/>
    <tableColumn id="4" xr3:uid="{BBAB5322-B302-46CB-920A-3935213E2A7D}" name="Portion of Total Onsite CHP Steam Used" dataDxfId="476"/>
    <tableColumn id="5" xr3:uid="{24FBBA99-CC6B-44D7-9596-DFFB78C5C89C}" name="Portion of Total Renewable Electricity" dataDxfId="475"/>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4F02C55-C690-47FA-A4F1-D1F646829252}" name="Table45" displayName="Table45" ref="B59:D62" totalsRowShown="0" headerRowDxfId="474" dataDxfId="473">
  <autoFilter ref="B59:D62" xr:uid="{E4F02C55-C690-47FA-A4F1-D1F646829252}"/>
  <tableColumns count="3">
    <tableColumn id="1" xr3:uid="{5F179169-AC7D-420D-B211-67A8685070EE}" name="Downstream Pathways" dataDxfId="472"/>
    <tableColumn id="2" xr3:uid="{D4770306-ADD1-4CF6-A21E-54D6398B840A}" name="Hydrogen Delivered (kg)" dataDxfId="471">
      <calculatedColumnFormula>lohcDehyd_quantityProduced_tonnes</calculatedColumnFormula>
    </tableColumn>
    <tableColumn id="3" xr3:uid="{FABEA183-E4A5-4DDE-BDAE-9FA3A5FB5CF3}" name="Hydrogen Emissions Intensity" dataDxfId="47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764A0CA-8B50-4DE9-A8D2-09864FD9F087}" name="TransportEmissionEstimateMethods" displayName="TransportEmissionEstimateMethods" ref="B77:B79" totalsRowShown="0" headerRowDxfId="469" dataDxfId="468">
  <autoFilter ref="B77:B79" xr:uid="{B764A0CA-8B50-4DE9-A8D2-09864FD9F087}"/>
  <tableColumns count="1">
    <tableColumn id="1" xr3:uid="{E15A819E-4BBA-4F2D-BA75-D425D6495FA6}" name="Emissions Estimation Method" dataDxfId="467"/>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39E52F8-E5E7-4DE1-8634-144BDD2FA32B}" name="TransportFuelConsumptionMeasurementTypes" displayName="TransportFuelConsumptionMeasurementTypes" ref="B81:B83" totalsRowShown="0" headerRowDxfId="466" dataDxfId="465">
  <autoFilter ref="B81:B83" xr:uid="{B39E52F8-E5E7-4DE1-8634-144BDD2FA32B}"/>
  <tableColumns count="1">
    <tableColumn id="1" xr3:uid="{A2D5FF39-EB8F-4677-B691-008043D6E145}" name="Fuel Consumption Measurement Types" dataDxfId="464"/>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9E5BEFE-2322-4571-BA01-49742C009CEF}" name="TransportLoadDistanceMeasurementTypes" displayName="TransportLoadDistanceMeasurementTypes" ref="B85:B87" totalsRowShown="0" headerRowDxfId="463" dataDxfId="462">
  <autoFilter ref="B85:B87" xr:uid="{49E5BEFE-2322-4571-BA01-49742C009CEF}"/>
  <tableColumns count="1">
    <tableColumn id="1" xr3:uid="{B6AC00E1-5987-428F-BD38-542CEFA73206}" name="Load Distance Measurement Types" dataDxfId="461"/>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6947259-FE77-4066-ACE9-A565480D4205}" name="Table48" displayName="Table48" ref="B89:B97" totalsRowShown="0" headerRowDxfId="460" dataDxfId="459">
  <autoFilter ref="B89:B97" xr:uid="{B6947259-FE77-4066-ACE9-A565480D4205}"/>
  <tableColumns count="1">
    <tableColumn id="1" xr3:uid="{B355B003-BD09-49E5-9A2E-8F69628F4167}" name="Road and Maritime Transport Types" dataDxfId="458"/>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7F3A79A9-B3D2-4377-B116-479137C325B9}" name="Heavy_vehicle_design_standards_table" displayName="Heavy_vehicle_design_standards_table" ref="B102:B106" totalsRowShown="0" headerRowDxfId="457" dataDxfId="456">
  <autoFilter ref="B102:B106" xr:uid="{7F3A79A9-B3D2-4377-B116-479137C325B9}"/>
  <tableColumns count="1">
    <tableColumn id="1" xr3:uid="{516E34EC-A2A8-4830-A7CC-C384DE938922}" name="Heavy Vehicle Design Standard Options" dataDxfId="455"/>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F7D5A51-D612-4EC7-AE89-8F4720FC8F41}" name="TransportFuelsTable" displayName="TransportFuelsTable" ref="B108:B113" totalsRowShown="0" headerRowDxfId="454" dataDxfId="453">
  <autoFilter ref="B108:B113" xr:uid="{6F7D5A51-D612-4EC7-AE89-8F4720FC8F41}"/>
  <tableColumns count="1">
    <tableColumn id="1" xr3:uid="{2303E363-CFD3-40E9-AD0B-93B042A57770}" name="Transport Fuel Options" dataDxfId="452"/>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F402E17-52FE-41A4-A095-8BFA7687A66B}" name="Table69" displayName="Table69" ref="B99:B100" totalsRowShown="0" headerRowDxfId="451" dataDxfId="450">
  <autoFilter ref="B99:B100" xr:uid="{5F402E17-52FE-41A4-A095-8BFA7687A66B}"/>
  <tableColumns count="1">
    <tableColumn id="1" xr3:uid="{C21EB7AA-0952-4840-BD22-30E12974F49B}" name="Other Transport Types" dataDxfId="449"/>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58A5D49-8199-4A48-A47E-0C062D83149C}" name="Table35" displayName="Table35" ref="B115:B139" totalsRowShown="0" headerRowDxfId="448" dataDxfId="447">
  <autoFilter ref="B115:B139" xr:uid="{058A5D49-8199-4A48-A47E-0C062D83149C}"/>
  <tableColumns count="1">
    <tableColumn id="1" xr3:uid="{E9EE4487-4C61-40F0-A875-DC000C016F9F}" name="Time List" dataDxfId="446"/>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25BFC1D1-B447-4C5B-97BD-B8808920032F}" name="Table75" displayName="Table75" ref="B141:B143" totalsRowShown="0" headerRowDxfId="445" dataDxfId="444">
  <autoFilter ref="B141:B143" xr:uid="{25BFC1D1-B447-4C5B-97BD-B8808920032F}"/>
  <tableColumns count="1">
    <tableColumn id="1" xr3:uid="{7871A5D8-E58D-45E7-A16C-F5FDD748EC03}" name="Transport Route Types" dataDxfId="44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C200ED1-0AFB-4361-8809-6C900A49AE67}" name="Table76" displayName="Table76" ref="B145:B147" totalsRowShown="0" headerRowDxfId="442" dataDxfId="441">
  <autoFilter ref="B145:B147" xr:uid="{2C200ED1-0AFB-4361-8809-6C900A49AE67}"/>
  <tableColumns count="1">
    <tableColumn id="1" xr3:uid="{AEFAF8CC-B916-4905-90C4-86540883644A}" name="Loss Correction Methods" dataDxfId="440"/>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F35C62E-6BE1-4B4C-872F-2D6EEE55C1D9}" name="BooleanOptions" displayName="BooleanOptions" ref="B150:B152" totalsRowShown="0" headerRowDxfId="439" dataDxfId="438">
  <autoFilter ref="B150:B152" xr:uid="{DF35C62E-6BE1-4B4C-872F-2D6EEE55C1D9}"/>
  <tableColumns count="1">
    <tableColumn id="1" xr3:uid="{FF3A87FA-B8B1-40BD-AA6B-8C40F3904A45}" name="Values" dataDxfId="437"/>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164AB7A-CA44-47B3-B057-4DE42C47655D}" name="TextFields" displayName="TextFields" ref="B156:D161" totalsRowShown="0" headerRowDxfId="436" dataDxfId="435">
  <autoFilter ref="B156:D161" xr:uid="{E164AB7A-CA44-47B3-B057-4DE42C47655D}"/>
  <tableColumns count="3">
    <tableColumn id="1" xr3:uid="{CF49F908-6259-4294-B716-643AC927B1B5}" name="Use" dataDxfId="434"/>
    <tableColumn id="2" xr3:uid="{9B8C9C20-0A40-4EA5-9FE6-43316B138659}" name="Text" dataDxfId="433"/>
    <tableColumn id="3" xr3:uid="{B89FDEDA-B532-4915-87E5-FA158FF30238}" name="Column1" dataDxfId="432"/>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DD6914-5D33-4751-B01F-E815C3669EE3}" name="Scope2EmissionFactors" displayName="Scope2EmissionFactors" ref="B164:C172" totalsRowShown="0" headerRowDxfId="431" dataDxfId="430">
  <autoFilter ref="B164:C172" xr:uid="{CCDD6914-5D33-4751-B01F-E815C3669EE3}">
    <filterColumn colId="0" hiddenButton="1"/>
    <filterColumn colId="1" hiddenButton="1"/>
  </autoFilter>
  <tableColumns count="2">
    <tableColumn id="1" xr3:uid="{6962342F-47CA-4EF2-A4C0-8EE7787F3512}" name="State" dataDxfId="429"/>
    <tableColumn id="4" xr3:uid="{84D61D94-1279-48CC-9DEF-E6DE7CE2DA06}" name="Value (kg CO2 -e /kWh)" dataDxfId="428"/>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3E2130-310B-4853-BC64-FA723F9B898B}" name="Scope3EmissionFactors" displayName="Scope3EmissionFactors" ref="B176:C184" totalsRowShown="0" headerRowDxfId="427" dataDxfId="426">
  <autoFilter ref="B176:C184" xr:uid="{6F3E2130-310B-4853-BC64-FA723F9B898B}">
    <filterColumn colId="0" hiddenButton="1"/>
    <filterColumn colId="1" hiddenButton="1"/>
  </autoFilter>
  <tableColumns count="2">
    <tableColumn id="1" xr3:uid="{9A13074A-697A-4614-925B-FF2E9FA78EC9}" name="State" dataDxfId="425"/>
    <tableColumn id="3" xr3:uid="{F498B111-8B06-4DE5-93D1-0B6569ABE407}" name="Value (kg CO2 -e /kWh)" dataDxfId="424"/>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00BC5F-BBD5-4725-9D65-7869FF06B952}" name="ElectricityConstants" displayName="ElectricityConstants" ref="B146:D151" totalsRowShown="0" headerRowDxfId="423" dataDxfId="422" tableBorderDxfId="421">
  <autoFilter ref="B146:D151" xr:uid="{8D00BC5F-BBD5-4725-9D65-7869FF06B952}">
    <filterColumn colId="0" hiddenButton="1"/>
    <filterColumn colId="1" hiddenButton="1"/>
    <filterColumn colId="2" hiddenButton="1"/>
  </autoFilter>
  <tableColumns count="3">
    <tableColumn id="1" xr3:uid="{D496AD07-1455-4788-903C-421FB34F8E57}" name="ID" dataDxfId="420"/>
    <tableColumn id="2" xr3:uid="{673CD6ED-77A0-43C9-9AA8-9187F1DA5DA4}" name="Column1" dataDxfId="419"/>
    <tableColumn id="3" xr3:uid="{C7EEF7B2-855B-412D-BF4F-A48F59909036}" name="Units" dataDxfId="41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9C3DAC1-4B4C-4756-86CF-1CE7692EA2FA}" name="CO2Equivalence" displayName="CO2Equivalence" ref="B220:C234" totalsRowShown="0" headerRowDxfId="417" dataDxfId="416">
  <autoFilter ref="B220:C234" xr:uid="{19C3DAC1-4B4C-4756-86CF-1CE7692EA2FA}">
    <filterColumn colId="0" hiddenButton="1"/>
    <filterColumn colId="1" hiddenButton="1"/>
  </autoFilter>
  <tableColumns count="2">
    <tableColumn id="1" xr3:uid="{9B3436D8-AA06-4F65-AA65-3006C249BFDC}" name="Greenhouse gas" dataDxfId="415"/>
    <tableColumn id="2" xr3:uid="{3CCF0B4E-4991-4750-9B7E-A72A0A27C965}" name="Global Warming Potential" dataDxfId="41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F94A0B7-6E48-4832-A086-E3946F060D12}" name="IndustrialProcessEmissions" displayName="IndustrialProcessEmissions" ref="B188:D192" totalsRowShown="0" headerRowDxfId="413" dataDxfId="412">
  <autoFilter ref="B188:D192" xr:uid="{4F94A0B7-6E48-4832-A086-E3946F060D12}">
    <filterColumn colId="0" hiddenButton="1"/>
    <filterColumn colId="1" hiddenButton="1"/>
    <filterColumn colId="2" hiddenButton="1"/>
  </autoFilter>
  <tableColumns count="3">
    <tableColumn id="1" xr3:uid="{CBE4AD80-DED1-4800-97AF-9557DCF0A158}" name="Equipment type (k)" dataDxfId="411"/>
    <tableColumn id="2" xr3:uid="{3B620901-75D6-428A-B24A-A210351ED4F3}" name="Hydrofluorocarbons Default annual leakage rate of gas (j) - L_jk" dataDxfId="410"/>
    <tableColumn id="3" xr3:uid="{B4507E5F-C6C0-4A6D-8263-9F11F332DB21}" name="Sulphur hexafluoride Default annual leakage rate of gas (j) - L_jk" dataDxfId="409"/>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E1E0027-02B6-498D-83A4-0263491546D8}" name="TapWaterEmbodiedEmissions" displayName="TapWaterEmbodiedEmissions" ref="B8:D16" totalsRowShown="0" headerRowDxfId="408" dataDxfId="407" tableBorderDxfId="406">
  <autoFilter ref="B8:D16" xr:uid="{3E1E0027-02B6-498D-83A4-0263491546D8}"/>
  <tableColumns count="3">
    <tableColumn id="1" xr3:uid="{5B8906BE-8A65-4A34-8EA9-E9B7FCA3DF53}" name="State" dataDxfId="405"/>
    <tableColumn id="2" xr3:uid="{75068B52-82A2-4FF0-905F-5729CF5F5653}" name="EF" dataDxfId="404"/>
    <tableColumn id="3" xr3:uid="{6AD7FEEB-F212-4B84-825A-D3E0C23B189D}" name="Unit" dataDxfId="403"/>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5F20E6F-E8C6-465E-B077-D04C56F668F9}" name="WaterEmbodiedEmissions" displayName="WaterEmbodiedEmissions" ref="B19:D27" totalsRowShown="0" headerRowDxfId="402" dataDxfId="401">
  <autoFilter ref="B19:D27" xr:uid="{E5F20E6F-E8C6-465E-B077-D04C56F668F9}">
    <filterColumn colId="0" hiddenButton="1"/>
    <filterColumn colId="1" hiddenButton="1"/>
    <filterColumn colId="2" hiddenButton="1"/>
  </autoFilter>
  <tableColumns count="3">
    <tableColumn id="1" xr3:uid="{25FF5A59-BD34-4063-9EF4-1859B432C331}" name="Water type" dataDxfId="400"/>
    <tableColumn id="2" xr3:uid="{22D32D03-04FC-4078-9D20-08A5D1F6576C}" name="EF" dataDxfId="399"/>
    <tableColumn id="3" xr3:uid="{3263DF68-7F29-4536-A545-2011D4BC1906}" name="Unit" dataDxfId="398"/>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735ADD6-F28E-4980-8C55-1966C1AD2C78}" name="PumpedWaterSupplyCosts" displayName="PumpedWaterSupplyCosts" ref="B30:D31" totalsRowShown="0" headerRowDxfId="397" dataDxfId="396">
  <autoFilter ref="B30:D31" xr:uid="{4735ADD6-F28E-4980-8C55-1966C1AD2C78}">
    <filterColumn colId="0" hiddenButton="1"/>
    <filterColumn colId="1" hiddenButton="1"/>
    <filterColumn colId="2" hiddenButton="1"/>
  </autoFilter>
  <tableColumns count="3">
    <tableColumn id="1" xr3:uid="{083BF06C-F09F-4E4C-83B7-E18572D610D5}" name="Pumped Water" dataDxfId="395"/>
    <tableColumn id="2" xr3:uid="{BAE8C795-5BAD-43AA-AF2C-C41AEEBF4329}" name="Initial Pumping from Source (kWh/m3)" dataDxfId="394"/>
    <tableColumn id="3" xr3:uid="{E4B16EB6-67D1-4643-ADC6-B13F553EE619}" name="Pumping to Site (kWh/m3/km)" dataDxfId="393"/>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A34C2B9-3161-4A0C-BBFA-E9C732B1D498}" name="SolidFuel" displayName="SolidFuel" ref="B40:G58" totalsRowShown="0" headerRowDxfId="392" dataDxfId="391">
  <autoFilter ref="B40:G58" xr:uid="{3A34C2B9-3161-4A0C-BBFA-E9C732B1D498}">
    <filterColumn colId="0" hiddenButton="1"/>
    <filterColumn colId="1" hiddenButton="1"/>
    <filterColumn colId="2" hiddenButton="1"/>
    <filterColumn colId="3" hiddenButton="1"/>
    <filterColumn colId="4" hiddenButton="1"/>
    <filterColumn colId="5" hiddenButton="1"/>
  </autoFilter>
  <tableColumns count="6">
    <tableColumn id="1" xr3:uid="{79CBD17E-AB16-4DD9-8178-406BFFB54B1F}" name="Solid Fuel Options" dataDxfId="390"/>
    <tableColumn id="2" xr3:uid="{A2D52E16-29BC-4896-B92C-C778A41B3BBC}" name="Energy Content Factor (GJ/T)" dataDxfId="389"/>
    <tableColumn id="3" xr3:uid="{7D6C0EAD-A3D7-4F20-98A4-26EEFE00FCB4}" name="Emission Factor (kg CO2-e / GJ)" dataDxfId="388"/>
    <tableColumn id="4" xr3:uid="{27ACBE90-E1A8-49E5-8A85-67C67486BFD4}" name="CH4" dataDxfId="387"/>
    <tableColumn id="5" xr3:uid="{070808B6-31F8-46FA-B339-3F98C87D1192}" name="N2O" dataDxfId="386"/>
    <tableColumn id="6" xr3:uid="{9BA91B5F-846A-4854-A0B2-245C899986DA}" name="SUM EF (kg CO2-e / GJ)" dataDxfId="385">
      <calculatedColumnFormula>SUM('Key Values'!$D41:$F41)</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E48A1AC-6720-485D-9FDF-B2D1D630BA30}" name="SolidFuelEmbodiedEmissions" displayName="SolidFuelEmbodiedEmissions" ref="B61:C68" totalsRowShown="0" headerRowDxfId="384" dataDxfId="383">
  <autoFilter ref="B61:C68" xr:uid="{BE48A1AC-6720-485D-9FDF-B2D1D630BA30}">
    <filterColumn colId="0" hiddenButton="1"/>
    <filterColumn colId="1" hiddenButton="1"/>
  </autoFilter>
  <tableColumns count="2">
    <tableColumn id="1" xr3:uid="{9993B063-80A3-4B90-B535-6C3554ABC1D3}" name="Solid Fuel Options" dataDxfId="382"/>
    <tableColumn id="2" xr3:uid="{6464B3D2-7558-44EC-A812-EF9EF240AF5B}" name="EF kg (CO2-e/GJ)" dataDxfId="381"/>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D8538AF-1551-4FE8-8C47-5DA49632979D}" name="GasFuel" displayName="GasFuel" ref="B71:H86" totalsRowShown="0" headerRowDxfId="380" dataDxfId="379">
  <autoFilter ref="B71:H86" xr:uid="{9D8538AF-1551-4FE8-8C47-5DA49632979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AE83EAA-8B42-436C-AC19-F9139A52B102}" name="Gaseous Fuel Options" dataDxfId="378"/>
    <tableColumn id="2" xr3:uid="{4F4D1F8F-8FC8-4A91-BD82-AE136D3018E4}" name="Energy content factor (GJ/m3 unless otherwise stated)" dataDxfId="377"/>
    <tableColumn id="3" xr3:uid="{1533399F-81EA-4AEA-8F1C-846530FB01CB}" name="CO2" dataDxfId="376"/>
    <tableColumn id="4" xr3:uid="{62207BCF-ABE7-4CE3-902A-E5D9D04D51B7}" name="CH4" dataDxfId="375"/>
    <tableColumn id="5" xr3:uid="{E5700665-6799-42C0-8B70-9A9FC651B576}" name="N2O" dataDxfId="374"/>
    <tableColumn id="6" xr3:uid="{FBDB6AB7-750B-4A80-B41B-9B817AB71312}" name="SUM EF (kg CO2-e / GJ)" dataDxfId="373">
      <calculatedColumnFormula>SUM('Key Values'!$D72:$F72)</calculatedColumnFormula>
    </tableColumn>
    <tableColumn id="7" xr3:uid="{A338122B-8089-4B74-A388-2B45EA31DB80}" name="Non-Ethane Natural Gas (Including coal seam gas)" dataDxfId="372"/>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367744F-E953-4448-9029-D8B9AF9DDBAA}" name="GaseousFuelEmbodiedEmissions" displayName="GaseousFuelEmbodiedEmissions" ref="B89:D97" totalsRowShown="0" headerRowDxfId="371" dataDxfId="370">
  <autoFilter ref="B89:D97" xr:uid="{5367744F-E953-4448-9029-D8B9AF9DDBAA}">
    <filterColumn colId="0" hiddenButton="1"/>
    <filterColumn colId="1" hiddenButton="1"/>
    <filterColumn colId="2" hiddenButton="1"/>
  </autoFilter>
  <tableColumns count="3">
    <tableColumn id="1" xr3:uid="{DA1AA89D-1E43-4DD2-BB94-BAB09F22BBEE}" name="Natural Gas Options other than ethane" dataDxfId="369"/>
    <tableColumn id="2" xr3:uid="{2D80B88C-2008-4E55-AB06-AA160877EF8A}" name="Metro EF (kg CO2-E/GJ)" dataDxfId="368"/>
    <tableColumn id="3" xr3:uid="{F21CFDA8-F1B2-4387-8CED-F58DB15C43A7}" name="Non-Metro EF (kg CO2-E/GJ)" dataDxfId="367"/>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6DCD917-05F6-43EA-B9FD-9AABC26ADC7F}" name="FuelTypeOptions" displayName="FuelTypeOptions" ref="B34:B37" totalsRowShown="0" headerRowDxfId="366" dataDxfId="365">
  <autoFilter ref="B34:B37" xr:uid="{D6DCD917-05F6-43EA-B9FD-9AABC26ADC7F}">
    <filterColumn colId="0" hiddenButton="1"/>
  </autoFilter>
  <tableColumns count="1">
    <tableColumn id="1" xr3:uid="{2D3B7BF5-51FC-4417-99AD-C9D39204EBEA}" name="Type" dataDxfId="364"/>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6813BF4-6159-404A-95BA-CF722535172F}" name="ElectricityEmissionCalculationMethod" displayName="ElectricityEmissionCalculationMethod" ref="B154:B156" totalsRowShown="0" headerRowDxfId="363" dataDxfId="362">
  <autoFilter ref="B154:B156" xr:uid="{B6813BF4-6159-404A-95BA-CF722535172F}">
    <filterColumn colId="0" hiddenButton="1"/>
  </autoFilter>
  <tableColumns count="1">
    <tableColumn id="1" xr3:uid="{41D92E22-1380-459F-9C15-9A2D8F6C2755}" name="Method" dataDxfId="361"/>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8D560BF-A13D-4BD1-A930-D8CC6B2E2B5E}" name="EnergyPurchasedFrom" displayName="EnergyPurchasedFrom" ref="B159:B161" totalsRowShown="0" headerRowDxfId="360" dataDxfId="359">
  <autoFilter ref="B159:B161" xr:uid="{58D560BF-A13D-4BD1-A930-D8CC6B2E2B5E}">
    <filterColumn colId="0" hiddenButton="1"/>
  </autoFilter>
  <tableColumns count="1">
    <tableColumn id="1" xr3:uid="{2AF6A0A5-A853-4AE1-8E75-10434F2AA586}" name="Options" dataDxfId="358"/>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2B9D68-4EEC-47AE-BF9F-BFF6E73BBB55}" name="massConv" displayName="massConv" ref="B290:D292" totalsRowShown="0" headerRowDxfId="357" dataDxfId="356">
  <autoFilter ref="B290:D292" xr:uid="{3C2B9D68-4EEC-47AE-BF9F-BFF6E73BBB55}">
    <filterColumn colId="0" hiddenButton="1"/>
    <filterColumn colId="1" hiddenButton="1"/>
    <filterColumn colId="2" hiddenButton="1"/>
  </autoFilter>
  <tableColumns count="3">
    <tableColumn id="1" xr3:uid="{9816D44F-17F9-4B08-87F9-615853AA1C45}" name="Mass Units" dataDxfId="355"/>
    <tableColumn id="2" xr3:uid="{AF493502-EA23-439A-977B-303B3EE28739}" name="t" dataDxfId="354"/>
    <tableColumn id="3" xr3:uid="{C0F36A22-237B-4DA2-9AAE-CD28DD1FEA92}" name="kg" dataDxfId="353"/>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35885E-26B6-4ADA-A23A-7A0ABB56C7AD}" name="EnergyConversionTable" displayName="EnergyConversionTable" ref="B301:F305" totalsRowShown="0" headerRowDxfId="352" dataDxfId="351">
  <autoFilter ref="B301:F305" xr:uid="{DB35885E-26B6-4ADA-A23A-7A0ABB56C7AD}">
    <filterColumn colId="0" hiddenButton="1"/>
    <filterColumn colId="1" hiddenButton="1"/>
    <filterColumn colId="2" hiddenButton="1"/>
    <filterColumn colId="3" hiddenButton="1"/>
    <filterColumn colId="4" hiddenButton="1"/>
  </autoFilter>
  <tableColumns count="5">
    <tableColumn id="1" xr3:uid="{96633900-6AB6-424B-A7AA-2D8697B1DBC7}" name="Energy Units" dataDxfId="350"/>
    <tableColumn id="2" xr3:uid="{03B7F106-8122-492F-B09D-C23AB2CFD37E}" name="GJ" dataDxfId="349">
      <calculatedColumnFormula>1/D301</calculatedColumnFormula>
    </tableColumn>
    <tableColumn id="3" xr3:uid="{E76980DD-567F-4DE0-9448-9AFCB0F0F7DB}" name="kWh" dataDxfId="348"/>
    <tableColumn id="4" xr3:uid="{19E089F4-489A-4C41-8464-D9C679BD36B1}" name="MWh" dataDxfId="347">
      <calculatedColumnFormula>EnergyConversionTable[[#This Row],[kWh]]/1000</calculatedColumnFormula>
    </tableColumn>
    <tableColumn id="5" xr3:uid="{AC9EA1EC-09DE-4DF5-9407-506A25322ED5}" name="kJ" dataDxfId="346">
      <calculatedColumnFormula>EnergyConversionTable[[#This Row],[GJ]]*1000000</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2FC904-CEF0-4C4E-87A7-75CBACD4737F}" name="Table5" displayName="Table5" ref="B253:I259" totalsRowShown="0" headerRowDxfId="345" dataDxfId="344">
  <autoFilter ref="B253:I259" xr:uid="{D92FC904-CEF0-4C4E-87A7-75CBACD4737F}"/>
  <tableColumns count="8">
    <tableColumn id="1" xr3:uid="{1FBA3328-ECA0-47AA-A754-DD53E12BA43F}" name="Technology" dataDxfId="343"/>
    <tableColumn id="2" xr3:uid="{A8CC1D06-20FE-4162-8909-E52C19E4A41D}" name="Volume of Exhaust Stream per production unit, m3(Flue)/kgH2 " dataDxfId="342"/>
    <tableColumn id="3" xr3:uid="{9D488FB9-145C-4A07-B790-C3DE47B601C7}" name="Fx" dataDxfId="341"/>
    <tableColumn id="8" xr3:uid="{6CC751C4-2DF8-41FF-A58B-6E40F8649588}" name="Molecular Weight (g/mol)" dataDxfId="340"/>
    <tableColumn id="5" xr3:uid="{58BA159C-3401-414F-B04B-90902931776A}" name="Fx2" dataDxfId="339"/>
    <tableColumn id="6" xr3:uid="{E5D4CAB5-3925-46D5-BDF0-50DDA02E1691}" name="Molecular Weight (g/mol)2" dataDxfId="338"/>
    <tableColumn id="9" xr3:uid="{CA2D5730-7A71-4BD1-BE75-03360DF7D5C3}" name="Fx3" dataDxfId="337"/>
    <tableColumn id="10" xr3:uid="{C228344F-7948-4702-AC8B-D5061AAA7803}" name="Molecular Weight (g/mol)3" dataDxfId="336"/>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916ECA4-2706-4365-A7A9-B6FBDB25F266}" name="Table7" displayName="Table7" ref="B308:C309" totalsRowShown="0" headerRowDxfId="335" dataDxfId="334">
  <autoFilter ref="B308:C309" xr:uid="{9916ECA4-2706-4365-A7A9-B6FBDB25F266}"/>
  <tableColumns count="2">
    <tableColumn id="1" xr3:uid="{1264E803-7AFD-4F53-BB5A-5FF44E383D02}" name="Value" dataDxfId="333"/>
    <tableColumn id="2" xr3:uid="{721EAA00-3625-4461-94C5-48E87E52CD3F}" name="Unit" dataDxfId="332"/>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15F55C-3EB9-45FF-BE79-7A48172F1B33}" name="Table8" displayName="Table8" ref="B246:C249" totalsRowShown="0" headerRowDxfId="331">
  <autoFilter ref="B246:C249" xr:uid="{F515F55C-3EB9-45FF-BE79-7A48172F1B33}"/>
  <tableColumns count="2">
    <tableColumn id="1" xr3:uid="{003C2608-B82F-4D69-9B1C-D23CE7366018}" name="Gas" dataDxfId="330"/>
    <tableColumn id="2" xr3:uid="{DC7F77B0-86DF-482A-ABBC-8FA39DAE7C19}" name="Proportion of energy emissions allocated" dataDxfId="329"/>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B21733E-8DF3-4A64-97DE-457552A90D1E}" name="volConv" displayName="volConv" ref="B295:E298" totalsRowShown="0" headerRowDxfId="328" dataDxfId="327">
  <autoFilter ref="B295:E298" xr:uid="{AB21733E-8DF3-4A64-97DE-457552A90D1E}"/>
  <tableColumns count="4">
    <tableColumn id="1" xr3:uid="{F55EF176-8656-43CB-83FE-3972D87E2D5B}" name="Volume Units" dataDxfId="326"/>
    <tableColumn id="2" xr3:uid="{A99F02E2-8B68-4D20-A041-69A321B48B3F}" name="m3" dataDxfId="325">
      <calculatedColumnFormula>1/D295</calculatedColumnFormula>
    </tableColumn>
    <tableColumn id="3" xr3:uid="{476C0AAF-E4B6-4761-997E-9EAD904D7CA0}" name="kL" dataDxfId="324"/>
    <tableColumn id="4" xr3:uid="{7C072F0C-0C9E-4BB4-8019-4D60E6A63DA4}" name="L" dataDxfId="323"/>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ABED128-5AD4-489F-9688-E915141F9DDC}" name="Table10" displayName="Table10" ref="B284:B286" totalsRowShown="0" headerRowDxfId="322">
  <autoFilter ref="B284:B286" xr:uid="{4ABED128-5AD4-489F-9688-E915141F9DDC}"/>
  <tableColumns count="1">
    <tableColumn id="1" xr3:uid="{7C67A902-FB2D-4CA0-B30E-2D0373C33129}" name="Energy Content Hydrogen"/>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A05F29-6354-4B75-A56D-03DE5AE95F5F}" name="Table12" displayName="Table12" ref="B270:E276" totalsRowShown="0" headerRowDxfId="321" dataDxfId="320">
  <autoFilter ref="B270:E276" xr:uid="{0EA05F29-6354-4B75-A56D-03DE5AE95F5F}"/>
  <tableColumns count="4">
    <tableColumn id="1" xr3:uid="{4D2B2018-DE4C-4989-9F11-667E969526B4}" name="Technology" dataDxfId="319"/>
    <tableColumn id="2" xr3:uid="{0A14AC3B-CADE-439A-B305-E41F83670004}" name="Emissions Factor (kg CO2 -e/kg flared)" dataDxfId="318"/>
    <tableColumn id="3" xr3:uid="{E109C4A6-07DA-4450-B36B-A0207CB12B5C}" name="Mass of Exhaust Stream per production unit (kg flue/kg H2)" dataDxfId="317"/>
    <tableColumn id="4" xr3:uid="{20DEDD85-3701-41A4-8824-F77CE55E4CBA}" name="Flare gas Volume (m^3 flue/kg H2)" dataDxfId="316"/>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6E4CFA4-593D-46F0-8F3D-C17B4AAE828A}" name="Table13" displayName="Table13" ref="B312:D317" totalsRowShown="0" headerRowDxfId="315">
  <autoFilter ref="B312:D317" xr:uid="{16E4CFA4-593D-46F0-8F3D-C17B4AAE828A}"/>
  <tableColumns count="3">
    <tableColumn id="1" xr3:uid="{08461FE7-69B9-4569-88EE-2BE5AF29E59D}" name="Water Volume/Mass Conversion" dataDxfId="314"/>
    <tableColumn id="2" xr3:uid="{449E69F4-ACA0-4154-872E-4B1FFDA8098A}" name="kg" dataDxfId="313"/>
    <tableColumn id="3" xr3:uid="{7DDC7E48-1D53-4165-9301-13BA9DF8A9D5}" name="m3" dataDxfId="312">
      <calculatedColumnFormula>Table13[[#This Row],[kg]]/1000</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22ED8A3-70E6-462D-8AB6-D6B9740FEFAC}" name="Table14" displayName="Table14" ref="B263:C266" totalsRowShown="0" headerRowDxfId="311" dataDxfId="310">
  <autoFilter ref="B263:C266" xr:uid="{322ED8A3-70E6-462D-8AB6-D6B9740FEFAC}"/>
  <tableColumns count="2">
    <tableColumn id="1" xr3:uid="{D2459C0A-0F44-4C59-A5B4-C3C8CF5571D6}" name="Gas" dataDxfId="309"/>
    <tableColumn id="2" xr3:uid="{B2141E75-F6E3-4252-8675-FFC025909F65}" name="GWP" dataDxfId="308"/>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B9AE94A-72F1-481C-9182-C884D93C91B6}" name="Table17" displayName="Table17" ref="B123:C143" totalsRowShown="0">
  <autoFilter ref="B123:C143" xr:uid="{CB9AE94A-72F1-481C-9182-C884D93C91B6}"/>
  <tableColumns count="2">
    <tableColumn id="1" xr3:uid="{2DB56A2E-4CE6-41A5-A209-E34A8159732D}" name="Liquid Fuel Options"/>
    <tableColumn id="2" xr3:uid="{203E9BC1-2580-4B66-9B4A-3CEBA692C099}" name="EF Factor (kg CO2-e/GJ)" dataDxfId="30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58263FE-BD49-4339-BFB4-0A91AA623AD4}" name="LQDF" displayName="LQDF" ref="B100:H120" totalsRowShown="0" headerRowDxfId="306" dataDxfId="305">
  <autoFilter ref="B100:H120" xr:uid="{958263FE-BD49-4339-BFB4-0A91AA623AD4}"/>
  <tableColumns count="7">
    <tableColumn id="1" xr3:uid="{5E57C520-68F9-4871-9871-E73206533D8F}" name="Liquid Fuel Options" dataDxfId="304"/>
    <tableColumn id="2" xr3:uid="{D78470EF-7E3E-467C-8F1E-CDB432C679B2}" name="Energy content factor (GJ/m3 unless otherwise stated)" dataDxfId="303"/>
    <tableColumn id="3" xr3:uid="{AA07F1C0-C10C-40F8-A211-3869AA38BCAE}" name="Unit" dataDxfId="302"/>
    <tableColumn id="4" xr3:uid="{E5D25F78-583A-479A-89C3-7EF902E94285}" name="Emission factor (kg CO2-e / GJ)" dataDxfId="301"/>
    <tableColumn id="5" xr3:uid="{9FE9CDBA-EE1C-47EC-B2D1-19419A003BB1}" name="CH4" dataDxfId="300"/>
    <tableColumn id="6" xr3:uid="{5BB82D0E-EA84-4B8F-8847-D46E7E4923A8}" name="N2O" dataDxfId="299"/>
    <tableColumn id="7" xr3:uid="{671BDB01-F0A5-484F-AE51-D0A64231A74B}" name="SUM EF (kg CO2-e / GJ)" dataDxfId="298">
      <calculatedColumnFormula>SUM('Key Values'!$E101:$G101)</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CD1393D-E2CE-48C8-8C55-0BEB048B7D2B}" name="Table32" displayName="Table32" ref="B237:D243" totalsRowShown="0" headerRowDxfId="297">
  <autoFilter ref="B237:D243" xr:uid="{ECD1393D-E2CE-48C8-8C55-0BEB048B7D2B}"/>
  <tableColumns count="3">
    <tableColumn id="3" xr3:uid="{56748379-22C8-4B19-A400-FAA3B9E2DAFF}" name="Gas" dataDxfId="296"/>
    <tableColumn id="1" xr3:uid="{CBCB996C-6472-46E5-869C-E188F8D83328}" name="Value" dataDxfId="295"/>
    <tableColumn id="2" xr3:uid="{49ED693E-58F7-4E50-8254-4CD5190F3A39}" name="Unit" dataDxfId="294"/>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DB6A4D5-7CC6-49E0-95BB-1AAEF50DEE83}" name="Table42" displayName="Table42" ref="B279:D281" totalsRowShown="0" headerRowDxfId="293" dataDxfId="292">
  <autoFilter ref="B279:D281" xr:uid="{2DB6A4D5-7CC6-49E0-95BB-1AAEF50DEE83}"/>
  <tableColumns count="3">
    <tableColumn id="1" xr3:uid="{5069D4A5-26C3-4ACF-96DF-A7E2AC86E42B}" name="LOHC Feedstock" dataDxfId="291"/>
    <tableColumn id="2" xr3:uid="{D2E99117-751F-432F-ACB2-BEA2337FE025}" name="Embodied EF (kg CO2-e/ kg)" dataDxfId="290"/>
    <tableColumn id="3" xr3:uid="{7CF3F2BA-5DE0-4080-929C-2C9264255F07}" name="Source" dataDxfId="289"/>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5D1DB8F-3B76-4F3F-B7EA-8FED2D65D3DF}" name="BoilerFuelReferenceTable" displayName="BoilerFuelReferenceTable" ref="B208:D217" totalsRowShown="0" headerRowDxfId="288" dataDxfId="287">
  <autoFilter ref="B208:D217" xr:uid="{75D1DB8F-3B76-4F3F-B7EA-8FED2D65D3DF}"/>
  <tableColumns count="3">
    <tableColumn id="1" xr3:uid="{350CEC18-EBB3-4A02-9E7A-264A374486A9}" name="Steam Boiler Fuel" dataDxfId="286"/>
    <tableColumn id="3" xr3:uid="{1CDBA6C0-F789-4804-B9C8-443E5B7213A7}" name="Scope 2 Factor (kg CO2-e/ GJ)" dataDxfId="285">
      <calculatedColumnFormula>IFERROR(VLOOKUP(B209,SolidFuel[#All],6,FALSE),IFERROR(VLOOKUP(B209,LQDF[#All],6,FALSE),IFERROR(VLOOKUP(B209,GasFuel[#All],6,FALSE),0)))</calculatedColumnFormula>
    </tableColumn>
    <tableColumn id="4" xr3:uid="{74993DA5-FC2F-4713-823C-27EC186AE58D}" name="Scope 3 Factor (kg CO2-e/ GJ)" dataDxfId="284">
      <calculatedColumnFormula>IFERROR(VLOOKUP(B209,SolidFuelEmbodiedEmissions[#All],2,FALSE),IFERROR(VLOOKUP(B209,Table17[#All],2,FALSE),0))</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5D165DE-F3B3-44E9-9ADE-F0C3F505C3E2}" name="SteamProperties" displayName="SteamProperties" ref="B196:G204" totalsRowShown="0" headerRowDxfId="283" dataDxfId="282">
  <autoFilter ref="B196:G204" xr:uid="{B5D165DE-F3B3-44E9-9ADE-F0C3F505C3E2}"/>
  <tableColumns count="6">
    <tableColumn id="1" xr3:uid="{3208620F-7486-4447-AAA5-E8A6762E3EEF}" name="Steam Properties" dataDxfId="281"/>
    <tableColumn id="2" xr3:uid="{2479BA53-BCF0-43B8-A628-A32B4BF2705F}" name="Water enthalpy (kJ/kg)" dataDxfId="280"/>
    <tableColumn id="3" xr3:uid="{F4A669D3-ACDD-43B2-89CA-AE115FAA2BAC}" name="Steam enthalpy (kJ/kg)" dataDxfId="279"/>
    <tableColumn id="4" xr3:uid="{5D0EA466-194D-4927-9194-79AF1AA47DD6}" name="Delta (kJ/kg)" dataDxfId="278"/>
    <tableColumn id="5" xr3:uid="{5F5B8552-8B20-4499-9927-949F472BCA12}" name="Energy for boiler (80% eff, kJ/kg steam)" dataDxfId="277"/>
    <tableColumn id="6" xr3:uid="{371B115C-A4B5-4454-BE22-E8892C5BD25D}" name="Energy for boiler (GJ/ kg)" dataDxfId="276"/>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D51B516-C663-4A2A-9989-16FC426BA2DA}" name="TransportFuelFactorsTable" displayName="TransportFuelFactorsTable" ref="B320:F328" totalsRowShown="0">
  <autoFilter ref="B320:F328" xr:uid="{9D51B516-C663-4A2A-9989-16FC426BA2DA}"/>
  <tableColumns count="5">
    <tableColumn id="1" xr3:uid="{C31E5DE9-D1B7-4B03-B607-5F4DBD08D5C6}" name="Fuel"/>
    <tableColumn id="2" xr3:uid="{5CA7797E-4C39-4271-A205-AB4ACFDDAC26}" name="Heavy Vehicle Design Standard" dataDxfId="275"/>
    <tableColumn id="3" xr3:uid="{CD61C6CF-9DCF-48CA-A6A6-E909B8A87C35}" name="Energy content factor (GJ/kL)]"/>
    <tableColumn id="4" xr3:uid="{01E61BFB-E171-4793-818D-D4A59633116C}" name="Direct emissions factor (kg CO2-e / GJ)"/>
    <tableColumn id="8" xr3:uid="{16A87830-CCCA-4FBD-93A3-4166729016D2}" name="Embodied emissions factor (kg CO2-e/ GJ)" dataDxfId="274"/>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D31C59A4-3F60-4807-A80C-4A415A3C3A39}" name="Table73" displayName="Table73" ref="B332:D340" totalsRowShown="0" headerRowDxfId="273" dataDxfId="272">
  <autoFilter ref="B332:D340" xr:uid="{D31C59A4-3F60-4807-A80C-4A415A3C3A39}"/>
  <tableColumns count="3">
    <tableColumn id="1" xr3:uid="{F83DF83C-970E-4EFD-9EF2-A486C91C68E6}" name="Truck Type" dataDxfId="271"/>
    <tableColumn id="2" xr3:uid="{2BD9A8B9-2666-4093-A46B-150D061C1684}" name="Fuel Type" dataDxfId="270"/>
    <tableColumn id="3" xr3:uid="{88384EAF-67A9-4B02-9958-9C73424D08B3}" name="Default fuel efficiency (L/ 100km)" dataDxfId="269"/>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A3D6AAC0-7923-4353-B44D-39AF042938B6}" name="Transport_Distance_Based_Emission_Factors_Table" displayName="Transport_Distance_Based_Emission_Factors_Table" ref="B344:D352" totalsRowShown="0" headerRowDxfId="268" dataDxfId="267">
  <autoFilter ref="B344:D352" xr:uid="{A3D6AAC0-7923-4353-B44D-39AF042938B6}"/>
  <tableColumns count="3">
    <tableColumn id="1" xr3:uid="{7B8EE281-7729-455F-A768-38006E7F2447}" name="Transport Type" dataDxfId="266"/>
    <tableColumn id="2" xr3:uid="{33C8CB1D-6876-464F-AF97-D218A16D571B}" name="Direct emissions factor (kg CO2-e/ t.km)" dataDxfId="265"/>
    <tableColumn id="3" xr3:uid="{566B5294-21D9-4246-BEC6-7B40E46D9471}" name="Embodied emissions factor (kg CO2-e/ tkm)" dataDxfId="26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aranteeofOrigin@dcceew.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1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1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19.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18" Type="http://schemas.openxmlformats.org/officeDocument/2006/relationships/table" Target="../tables/table37.xml"/><Relationship Id="rId3" Type="http://schemas.openxmlformats.org/officeDocument/2006/relationships/table" Target="../tables/table22.xml"/><Relationship Id="rId21" Type="http://schemas.openxmlformats.org/officeDocument/2006/relationships/table" Target="../tables/table40.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table" Target="../tables/table21.xml"/><Relationship Id="rId16" Type="http://schemas.openxmlformats.org/officeDocument/2006/relationships/table" Target="../tables/table35.xml"/><Relationship Id="rId20" Type="http://schemas.openxmlformats.org/officeDocument/2006/relationships/table" Target="../tables/table39.xml"/><Relationship Id="rId1" Type="http://schemas.openxmlformats.org/officeDocument/2006/relationships/drawing" Target="../drawings/drawing19.xml"/><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23" Type="http://schemas.openxmlformats.org/officeDocument/2006/relationships/table" Target="../tables/table42.xml"/><Relationship Id="rId10" Type="http://schemas.openxmlformats.org/officeDocument/2006/relationships/table" Target="../tables/table29.xml"/><Relationship Id="rId19" Type="http://schemas.openxmlformats.org/officeDocument/2006/relationships/table" Target="../tables/table38.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 Id="rId22" Type="http://schemas.openxmlformats.org/officeDocument/2006/relationships/table" Target="../tables/table4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3" Type="http://schemas.openxmlformats.org/officeDocument/2006/relationships/table" Target="../tables/table52.xml"/><Relationship Id="rId18" Type="http://schemas.openxmlformats.org/officeDocument/2006/relationships/table" Target="../tables/table57.xml"/><Relationship Id="rId26" Type="http://schemas.openxmlformats.org/officeDocument/2006/relationships/table" Target="../tables/table65.xml"/><Relationship Id="rId21" Type="http://schemas.openxmlformats.org/officeDocument/2006/relationships/table" Target="../tables/table60.xml"/><Relationship Id="rId34" Type="http://schemas.openxmlformats.org/officeDocument/2006/relationships/table" Target="../tables/table73.xml"/><Relationship Id="rId7" Type="http://schemas.openxmlformats.org/officeDocument/2006/relationships/table" Target="../tables/table46.xml"/><Relationship Id="rId12" Type="http://schemas.openxmlformats.org/officeDocument/2006/relationships/table" Target="../tables/table51.xml"/><Relationship Id="rId17" Type="http://schemas.openxmlformats.org/officeDocument/2006/relationships/table" Target="../tables/table56.xml"/><Relationship Id="rId25" Type="http://schemas.openxmlformats.org/officeDocument/2006/relationships/table" Target="../tables/table64.xml"/><Relationship Id="rId33" Type="http://schemas.openxmlformats.org/officeDocument/2006/relationships/table" Target="../tables/table72.xml"/><Relationship Id="rId38" Type="http://schemas.openxmlformats.org/officeDocument/2006/relationships/comments" Target="../comments1.xml"/><Relationship Id="rId2" Type="http://schemas.openxmlformats.org/officeDocument/2006/relationships/drawing" Target="../drawings/drawing20.xml"/><Relationship Id="rId16" Type="http://schemas.openxmlformats.org/officeDocument/2006/relationships/table" Target="../tables/table55.xml"/><Relationship Id="rId20" Type="http://schemas.openxmlformats.org/officeDocument/2006/relationships/table" Target="../tables/table59.xml"/><Relationship Id="rId29" Type="http://schemas.openxmlformats.org/officeDocument/2006/relationships/table" Target="../tables/table68.xml"/><Relationship Id="rId1" Type="http://schemas.openxmlformats.org/officeDocument/2006/relationships/printerSettings" Target="../printerSettings/printerSettings20.bin"/><Relationship Id="rId6" Type="http://schemas.openxmlformats.org/officeDocument/2006/relationships/table" Target="../tables/table45.xml"/><Relationship Id="rId11" Type="http://schemas.openxmlformats.org/officeDocument/2006/relationships/table" Target="../tables/table50.xml"/><Relationship Id="rId24" Type="http://schemas.openxmlformats.org/officeDocument/2006/relationships/table" Target="../tables/table63.xml"/><Relationship Id="rId32" Type="http://schemas.openxmlformats.org/officeDocument/2006/relationships/table" Target="../tables/table71.xml"/><Relationship Id="rId37" Type="http://schemas.openxmlformats.org/officeDocument/2006/relationships/table" Target="../tables/table76.xml"/><Relationship Id="rId5" Type="http://schemas.openxmlformats.org/officeDocument/2006/relationships/table" Target="../tables/table44.xml"/><Relationship Id="rId15" Type="http://schemas.openxmlformats.org/officeDocument/2006/relationships/table" Target="../tables/table54.xml"/><Relationship Id="rId23" Type="http://schemas.openxmlformats.org/officeDocument/2006/relationships/table" Target="../tables/table62.xml"/><Relationship Id="rId28" Type="http://schemas.openxmlformats.org/officeDocument/2006/relationships/table" Target="../tables/table67.xml"/><Relationship Id="rId36" Type="http://schemas.openxmlformats.org/officeDocument/2006/relationships/table" Target="../tables/table75.xml"/><Relationship Id="rId10" Type="http://schemas.openxmlformats.org/officeDocument/2006/relationships/table" Target="../tables/table49.xml"/><Relationship Id="rId19" Type="http://schemas.openxmlformats.org/officeDocument/2006/relationships/table" Target="../tables/table58.xml"/><Relationship Id="rId31" Type="http://schemas.openxmlformats.org/officeDocument/2006/relationships/table" Target="../tables/table70.xml"/><Relationship Id="rId4" Type="http://schemas.openxmlformats.org/officeDocument/2006/relationships/table" Target="../tables/table43.xml"/><Relationship Id="rId9" Type="http://schemas.openxmlformats.org/officeDocument/2006/relationships/table" Target="../tables/table48.xml"/><Relationship Id="rId14" Type="http://schemas.openxmlformats.org/officeDocument/2006/relationships/table" Target="../tables/table53.xml"/><Relationship Id="rId22" Type="http://schemas.openxmlformats.org/officeDocument/2006/relationships/table" Target="../tables/table61.xml"/><Relationship Id="rId27" Type="http://schemas.openxmlformats.org/officeDocument/2006/relationships/table" Target="../tables/table66.xml"/><Relationship Id="rId30" Type="http://schemas.openxmlformats.org/officeDocument/2006/relationships/table" Target="../tables/table69.xml"/><Relationship Id="rId35" Type="http://schemas.openxmlformats.org/officeDocument/2006/relationships/table" Target="../tables/table74.xml"/><Relationship Id="rId8" Type="http://schemas.openxmlformats.org/officeDocument/2006/relationships/table" Target="../tables/table47.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440D-A20E-4504-A2CC-3F8E89382E2D}">
  <sheetPr codeName="Sheet2">
    <tabColor theme="9" tint="-0.249977111117893"/>
  </sheetPr>
  <dimension ref="A1:AD57"/>
  <sheetViews>
    <sheetView showGridLines="0" tabSelected="1" zoomScaleNormal="100" workbookViewId="0">
      <pane xSplit="1" ySplit="3" topLeftCell="B8" activePane="bottomRight" state="frozen"/>
      <selection pane="topRight" activeCell="B1" sqref="B1"/>
      <selection pane="bottomLeft" activeCell="A4" sqref="A4"/>
      <selection pane="bottomRight" activeCell="C8" sqref="C8:F8"/>
    </sheetView>
  </sheetViews>
  <sheetFormatPr defaultColWidth="0" defaultRowHeight="12.5" zeroHeight="1" x14ac:dyDescent="0.25"/>
  <cols>
    <col min="1" max="1" width="3.453125" style="1501" customWidth="1"/>
    <col min="2" max="2" width="7.1796875" style="1501" customWidth="1"/>
    <col min="3" max="3" width="27.7265625" style="1501" customWidth="1"/>
    <col min="4" max="4" width="9.1796875" style="1501" customWidth="1"/>
    <col min="5" max="5" width="90.26953125" style="1501" customWidth="1"/>
    <col min="6" max="6" width="63.26953125" style="1501" customWidth="1"/>
    <col min="7" max="7" width="7.1796875" style="1501" customWidth="1"/>
    <col min="8" max="8" width="3.453125" style="1501" customWidth="1"/>
    <col min="9" max="10" width="9.1796875" style="1501" hidden="1" customWidth="1"/>
    <col min="11" max="11" width="7.1796875" style="1501" hidden="1" customWidth="1"/>
    <col min="12" max="29" width="9.1796875" style="1501" hidden="1" customWidth="1"/>
    <col min="30" max="30" width="0" style="1501" hidden="1" customWidth="1"/>
    <col min="31" max="16384" width="9.1796875" style="1501" hidden="1"/>
  </cols>
  <sheetData>
    <row r="1" spans="2:7" ht="18" customHeight="1" x14ac:dyDescent="0.25"/>
    <row r="2" spans="2:7" ht="102" customHeight="1" x14ac:dyDescent="0.25"/>
    <row r="3" spans="2:7" ht="42.75" customHeight="1" x14ac:dyDescent="0.25">
      <c r="B3" s="1869" t="s">
        <v>0</v>
      </c>
      <c r="C3" s="1869"/>
      <c r="D3" s="1869"/>
      <c r="E3" s="1869"/>
      <c r="F3" s="1869"/>
      <c r="G3" s="1869"/>
    </row>
    <row r="4" spans="2:7" ht="15" customHeight="1" x14ac:dyDescent="0.25">
      <c r="B4" s="1858"/>
      <c r="C4" s="1859"/>
      <c r="D4" s="1859"/>
      <c r="E4" s="1859"/>
      <c r="F4" s="1859"/>
      <c r="G4" s="1859"/>
    </row>
    <row r="5" spans="2:7" ht="15" customHeight="1" x14ac:dyDescent="0.25">
      <c r="B5" s="1858"/>
      <c r="C5" s="1874" t="s">
        <v>1</v>
      </c>
      <c r="D5" s="1874"/>
      <c r="E5" s="1874"/>
      <c r="F5" s="1874"/>
      <c r="G5" s="1859"/>
    </row>
    <row r="6" spans="2:7" ht="15" customHeight="1" x14ac:dyDescent="0.25">
      <c r="B6" s="1858"/>
      <c r="C6" s="1859"/>
      <c r="D6" s="1859"/>
      <c r="E6" s="1859"/>
      <c r="F6" s="1859"/>
      <c r="G6" s="1859"/>
    </row>
    <row r="7" spans="2:7" ht="15.5" x14ac:dyDescent="0.35">
      <c r="B7" s="1871"/>
      <c r="C7" s="1871"/>
      <c r="D7" s="1871"/>
      <c r="E7" s="1871"/>
      <c r="F7" s="1871"/>
      <c r="G7" s="1871"/>
    </row>
    <row r="8" spans="2:7" ht="99" customHeight="1" x14ac:dyDescent="0.25">
      <c r="B8" s="1857"/>
      <c r="C8" s="1865" t="s">
        <v>1386</v>
      </c>
      <c r="D8" s="1865"/>
      <c r="E8" s="1865"/>
      <c r="F8" s="1865"/>
      <c r="G8" s="1849"/>
    </row>
    <row r="9" spans="2:7" ht="94.5" customHeight="1" x14ac:dyDescent="0.25">
      <c r="B9" s="1857"/>
      <c r="C9" s="1865" t="s">
        <v>1385</v>
      </c>
      <c r="D9" s="1865"/>
      <c r="E9" s="1865"/>
      <c r="F9" s="1865"/>
      <c r="G9" s="1857"/>
    </row>
    <row r="10" spans="2:7" ht="256" customHeight="1" x14ac:dyDescent="0.25">
      <c r="B10" s="1849"/>
      <c r="C10" s="1865" t="s">
        <v>1383</v>
      </c>
      <c r="D10" s="1865"/>
      <c r="E10" s="1865"/>
      <c r="F10" s="1865"/>
      <c r="G10" s="1849"/>
    </row>
    <row r="11" spans="2:7" ht="15.5" x14ac:dyDescent="0.35">
      <c r="B11" s="1503"/>
      <c r="C11" s="1503"/>
      <c r="D11" s="1503"/>
      <c r="E11" s="1503"/>
      <c r="F11" s="1503"/>
      <c r="G11" s="1503"/>
    </row>
    <row r="12" spans="2:7" ht="75.650000000000006" customHeight="1" x14ac:dyDescent="0.25">
      <c r="B12" s="1860"/>
      <c r="C12" s="1865" t="s">
        <v>1384</v>
      </c>
      <c r="D12" s="1865"/>
      <c r="E12" s="1865"/>
      <c r="F12" s="1865"/>
      <c r="G12" s="1860"/>
    </row>
    <row r="13" spans="2:7" ht="15.5" x14ac:dyDescent="0.25">
      <c r="B13" s="1860"/>
      <c r="C13" s="1848"/>
      <c r="D13" s="1848"/>
      <c r="E13" s="1848"/>
      <c r="F13" s="1848"/>
      <c r="G13" s="1860"/>
    </row>
    <row r="14" spans="2:7" ht="15.5" x14ac:dyDescent="0.35">
      <c r="B14" s="1503"/>
      <c r="C14" s="1866" t="s">
        <v>1377</v>
      </c>
      <c r="D14" s="1866"/>
      <c r="E14" s="1866"/>
      <c r="F14" s="1861" t="s">
        <v>1378</v>
      </c>
      <c r="G14" s="1503"/>
    </row>
    <row r="15" spans="2:7" ht="15.5" x14ac:dyDescent="0.35">
      <c r="B15" s="1871"/>
      <c r="C15" s="1871"/>
      <c r="D15" s="1871"/>
      <c r="E15" s="1871"/>
      <c r="F15" s="1871"/>
      <c r="G15" s="1871"/>
    </row>
    <row r="16" spans="2:7" x14ac:dyDescent="0.25"/>
    <row r="17" spans="2:7" ht="12.75" customHeight="1" x14ac:dyDescent="0.25">
      <c r="B17" s="1870" t="s">
        <v>2</v>
      </c>
      <c r="C17" s="1870"/>
      <c r="D17" s="1870"/>
      <c r="E17" s="1870"/>
      <c r="F17" s="1870"/>
      <c r="G17" s="1870"/>
    </row>
    <row r="18" spans="2:7" ht="12.75" customHeight="1" x14ac:dyDescent="0.25">
      <c r="B18" s="1870"/>
      <c r="C18" s="1870"/>
      <c r="D18" s="1870"/>
      <c r="E18" s="1870"/>
      <c r="F18" s="1870"/>
      <c r="G18" s="1870"/>
    </row>
    <row r="19" spans="2:7" ht="12.75" customHeight="1" x14ac:dyDescent="0.25">
      <c r="B19" s="1870"/>
      <c r="C19" s="1870"/>
      <c r="D19" s="1870"/>
      <c r="E19" s="1870"/>
      <c r="F19" s="1870"/>
      <c r="G19" s="1870"/>
    </row>
    <row r="20" spans="2:7" ht="12.75" customHeight="1" x14ac:dyDescent="0.25">
      <c r="B20" s="1870"/>
      <c r="C20" s="1870"/>
      <c r="D20" s="1870"/>
      <c r="E20" s="1870"/>
      <c r="F20" s="1870"/>
      <c r="G20" s="1870"/>
    </row>
    <row r="21" spans="2:7" ht="30" customHeight="1" x14ac:dyDescent="0.25">
      <c r="B21" s="1502"/>
      <c r="C21" s="1873" t="s">
        <v>3</v>
      </c>
      <c r="D21" s="1873"/>
      <c r="E21" s="1873"/>
      <c r="F21" s="1873"/>
      <c r="G21" s="1862"/>
    </row>
    <row r="22" spans="2:7" ht="50.25" customHeight="1" x14ac:dyDescent="0.25">
      <c r="B22" s="1502"/>
      <c r="C22" s="1865" t="s">
        <v>4</v>
      </c>
      <c r="D22" s="1865"/>
      <c r="E22" s="1865"/>
      <c r="F22" s="1865"/>
      <c r="G22" s="1849"/>
    </row>
    <row r="23" spans="2:7" ht="67.5" customHeight="1" x14ac:dyDescent="0.25">
      <c r="B23" s="1502"/>
      <c r="C23" s="1865" t="s">
        <v>5</v>
      </c>
      <c r="D23" s="1865"/>
      <c r="E23" s="1865"/>
      <c r="F23" s="1865"/>
      <c r="G23" s="1849"/>
    </row>
    <row r="24" spans="2:7" ht="74.25" customHeight="1" x14ac:dyDescent="0.25">
      <c r="B24" s="1502"/>
      <c r="C24" s="1865" t="s">
        <v>6</v>
      </c>
      <c r="D24" s="1865"/>
      <c r="E24" s="1865"/>
      <c r="F24" s="1865"/>
      <c r="G24" s="1849"/>
    </row>
    <row r="25" spans="2:7" x14ac:dyDescent="0.25">
      <c r="B25" s="1502"/>
      <c r="C25" s="1868"/>
      <c r="D25" s="1868"/>
      <c r="E25" s="1868"/>
      <c r="F25" s="1868"/>
      <c r="G25" s="1868"/>
    </row>
    <row r="26" spans="2:7" ht="15" customHeight="1" x14ac:dyDescent="0.35">
      <c r="B26" s="1503"/>
      <c r="C26" s="1867" t="s">
        <v>7</v>
      </c>
      <c r="D26" s="1867"/>
      <c r="E26" s="1867"/>
      <c r="F26" s="1867"/>
      <c r="G26" s="1862"/>
    </row>
    <row r="27" spans="2:7" ht="30.75" customHeight="1" x14ac:dyDescent="0.35">
      <c r="B27" s="1503"/>
      <c r="C27" s="1864" t="s">
        <v>8</v>
      </c>
      <c r="D27" s="1864"/>
      <c r="E27" s="1864"/>
      <c r="F27" s="1864"/>
      <c r="G27" s="1863"/>
    </row>
    <row r="28" spans="2:7" ht="25.5" customHeight="1" x14ac:dyDescent="0.35">
      <c r="B28" s="1503"/>
      <c r="C28" s="1864" t="s">
        <v>9</v>
      </c>
      <c r="D28" s="1864"/>
      <c r="E28" s="1864"/>
      <c r="F28" s="1864"/>
      <c r="G28" s="1863"/>
    </row>
    <row r="29" spans="2:7" ht="27" customHeight="1" x14ac:dyDescent="0.35">
      <c r="B29" s="1503"/>
      <c r="C29" s="1864" t="s">
        <v>10</v>
      </c>
      <c r="D29" s="1864"/>
      <c r="E29" s="1864"/>
      <c r="F29" s="1864"/>
      <c r="G29" s="1864"/>
    </row>
    <row r="30" spans="2:7" ht="24" customHeight="1" x14ac:dyDescent="0.35">
      <c r="B30" s="1503"/>
      <c r="C30" s="1864" t="s">
        <v>11</v>
      </c>
      <c r="D30" s="1864"/>
      <c r="E30" s="1864"/>
      <c r="F30" s="1864"/>
      <c r="G30" s="1864"/>
    </row>
    <row r="31" spans="2:7" ht="21" customHeight="1" x14ac:dyDescent="0.35">
      <c r="B31" s="1503"/>
      <c r="C31" s="1864" t="s">
        <v>12</v>
      </c>
      <c r="D31" s="1864"/>
      <c r="E31" s="1864"/>
      <c r="F31" s="1864"/>
      <c r="G31" s="1864"/>
    </row>
    <row r="32" spans="2:7" ht="18" customHeight="1" x14ac:dyDescent="0.35">
      <c r="B32" s="1503"/>
      <c r="C32" s="1872" t="s">
        <v>13</v>
      </c>
      <c r="D32" s="1872"/>
      <c r="E32" s="1872"/>
      <c r="F32" s="1872"/>
      <c r="G32" s="1872"/>
    </row>
    <row r="33" spans="2:7" ht="24.65" customHeight="1" x14ac:dyDescent="0.35">
      <c r="B33" s="1503"/>
      <c r="C33" s="1867" t="s">
        <v>14</v>
      </c>
      <c r="D33" s="1867"/>
      <c r="E33" s="1867"/>
      <c r="F33" s="1867"/>
      <c r="G33" s="1862"/>
    </row>
    <row r="34" spans="2:7" ht="33" customHeight="1" x14ac:dyDescent="0.35">
      <c r="B34" s="1503"/>
      <c r="C34" s="1865" t="s">
        <v>15</v>
      </c>
      <c r="D34" s="1865"/>
      <c r="E34" s="1865"/>
      <c r="F34" s="1865"/>
      <c r="G34" s="1863"/>
    </row>
    <row r="35" spans="2:7" ht="24.65" customHeight="1" x14ac:dyDescent="0.35">
      <c r="B35" s="1503"/>
      <c r="C35" s="1867" t="s">
        <v>16</v>
      </c>
      <c r="D35" s="1867"/>
      <c r="E35" s="1867"/>
      <c r="F35" s="1867"/>
      <c r="G35" s="1862"/>
    </row>
    <row r="36" spans="2:7" ht="33" customHeight="1" x14ac:dyDescent="0.35">
      <c r="B36" s="1503"/>
      <c r="C36" s="1865" t="s">
        <v>17</v>
      </c>
      <c r="D36" s="1865"/>
      <c r="E36" s="1865"/>
      <c r="F36" s="1865"/>
      <c r="G36" s="1849"/>
    </row>
    <row r="37" spans="2:7" ht="24.75" customHeight="1" x14ac:dyDescent="0.35">
      <c r="B37" s="1503"/>
      <c r="C37" s="1867" t="s">
        <v>18</v>
      </c>
      <c r="D37" s="1867"/>
      <c r="E37" s="1867"/>
      <c r="F37" s="1867"/>
      <c r="G37" s="1862"/>
    </row>
    <row r="38" spans="2:7" ht="17.5" customHeight="1" x14ac:dyDescent="0.35">
      <c r="B38" s="1503"/>
      <c r="C38" s="1865" t="s">
        <v>1379</v>
      </c>
      <c r="D38" s="1865"/>
      <c r="E38" s="1865"/>
      <c r="F38" s="1865"/>
      <c r="G38" s="1865"/>
    </row>
    <row r="39" spans="2:7" ht="19.899999999999999" hidden="1" customHeight="1" x14ac:dyDescent="0.35">
      <c r="B39" s="1503"/>
      <c r="C39" s="1865" t="s">
        <v>19</v>
      </c>
      <c r="D39" s="1865"/>
      <c r="E39" s="1865"/>
      <c r="F39" s="1865"/>
      <c r="G39" s="1865"/>
    </row>
    <row r="40" spans="2:7" ht="19.899999999999999" hidden="1" customHeight="1" x14ac:dyDescent="0.35">
      <c r="B40" s="1503"/>
      <c r="C40" s="1865" t="s">
        <v>20</v>
      </c>
      <c r="D40" s="1865"/>
      <c r="E40" s="1865"/>
      <c r="F40" s="1865"/>
      <c r="G40" s="1865"/>
    </row>
    <row r="41" spans="2:7" ht="19.899999999999999" hidden="1" customHeight="1" x14ac:dyDescent="0.35">
      <c r="B41" s="1503"/>
      <c r="C41" s="1865" t="s">
        <v>21</v>
      </c>
      <c r="D41" s="1865"/>
      <c r="E41" s="1865"/>
      <c r="F41" s="1865"/>
      <c r="G41" s="1865"/>
    </row>
    <row r="42" spans="2:7" ht="20.25" customHeight="1" x14ac:dyDescent="0.35">
      <c r="B42" s="1503"/>
      <c r="C42" s="1865" t="s">
        <v>22</v>
      </c>
      <c r="D42" s="1865"/>
      <c r="E42" s="1865"/>
      <c r="F42" s="1865"/>
      <c r="G42" s="1865"/>
    </row>
    <row r="43" spans="2:7" ht="23.25" customHeight="1" x14ac:dyDescent="0.35">
      <c r="B43" s="1503"/>
      <c r="C43" s="1867" t="s">
        <v>23</v>
      </c>
      <c r="D43" s="1867"/>
      <c r="E43" s="1867"/>
      <c r="F43" s="1867"/>
      <c r="G43" s="1862"/>
    </row>
    <row r="44" spans="2:7" ht="33" customHeight="1" x14ac:dyDescent="0.35">
      <c r="B44" s="1503"/>
      <c r="C44" s="1865" t="s">
        <v>1381</v>
      </c>
      <c r="D44" s="1865"/>
      <c r="E44" s="1865"/>
      <c r="F44" s="1865"/>
      <c r="G44" s="1848"/>
    </row>
    <row r="45" spans="2:7" ht="21.65" customHeight="1" x14ac:dyDescent="0.35">
      <c r="B45" s="1503"/>
      <c r="C45" s="1865" t="s">
        <v>1380</v>
      </c>
      <c r="D45" s="1865"/>
      <c r="E45" s="1865"/>
      <c r="F45" s="1865"/>
      <c r="G45" s="1865"/>
    </row>
    <row r="46" spans="2:7" ht="30.65" customHeight="1" x14ac:dyDescent="0.35">
      <c r="B46" s="1503"/>
      <c r="C46" s="1865"/>
      <c r="D46" s="1865"/>
      <c r="E46" s="1865"/>
      <c r="F46" s="1865"/>
      <c r="G46" s="1865"/>
    </row>
    <row r="47" spans="2:7" ht="15.5" x14ac:dyDescent="0.35">
      <c r="B47" s="1503"/>
      <c r="C47" s="1503"/>
      <c r="D47" s="1502"/>
      <c r="E47" s="1502"/>
      <c r="F47" s="1502"/>
      <c r="G47" s="1502"/>
    </row>
    <row r="48" spans="2:7" ht="15.5" x14ac:dyDescent="0.25">
      <c r="B48" s="1502"/>
      <c r="C48" s="1867" t="s">
        <v>24</v>
      </c>
      <c r="D48" s="1867"/>
      <c r="E48" s="1867"/>
      <c r="F48" s="1867"/>
      <c r="G48" s="1867"/>
    </row>
    <row r="49" spans="2:7" x14ac:dyDescent="0.25">
      <c r="B49" s="1502"/>
      <c r="C49" s="1502"/>
      <c r="D49" s="1502"/>
      <c r="E49" s="1502"/>
      <c r="F49" s="1502"/>
      <c r="G49" s="1502"/>
    </row>
    <row r="50" spans="2:7" x14ac:dyDescent="0.25">
      <c r="B50" s="1502"/>
      <c r="C50" s="1504" t="s">
        <v>25</v>
      </c>
      <c r="D50" s="1504"/>
      <c r="E50" s="1502"/>
      <c r="F50" s="1502"/>
      <c r="G50" s="1502"/>
    </row>
    <row r="51" spans="2:7" x14ac:dyDescent="0.25">
      <c r="B51" s="1502"/>
      <c r="C51" s="1505" t="s">
        <v>1382</v>
      </c>
      <c r="D51" s="1506"/>
      <c r="E51" s="1502"/>
      <c r="F51" s="1502"/>
      <c r="G51" s="1502"/>
    </row>
    <row r="52" spans="2:7" x14ac:dyDescent="0.25">
      <c r="B52" s="1502"/>
      <c r="C52" s="1507" t="s">
        <v>26</v>
      </c>
      <c r="D52" s="1508"/>
      <c r="E52" s="1502"/>
      <c r="F52" s="1502"/>
      <c r="G52" s="1502"/>
    </row>
    <row r="53" spans="2:7" x14ac:dyDescent="0.25">
      <c r="B53" s="1502"/>
      <c r="C53" s="1507" t="s">
        <v>27</v>
      </c>
      <c r="D53" s="1558"/>
      <c r="E53" s="1502"/>
      <c r="F53" s="1502"/>
      <c r="G53" s="1502"/>
    </row>
    <row r="54" spans="2:7" x14ac:dyDescent="0.25">
      <c r="B54" s="1502"/>
      <c r="C54" s="1509" t="s">
        <v>28</v>
      </c>
      <c r="D54" s="1559"/>
      <c r="E54" s="1502"/>
      <c r="F54" s="1502"/>
      <c r="G54" s="1502"/>
    </row>
    <row r="55" spans="2:7" x14ac:dyDescent="0.25">
      <c r="B55" s="1502"/>
      <c r="C55" s="1502"/>
      <c r="D55" s="1502"/>
      <c r="E55" s="1502"/>
      <c r="F55" s="1502"/>
      <c r="G55" s="1502"/>
    </row>
    <row r="56" spans="2:7" x14ac:dyDescent="0.25">
      <c r="B56" s="1502"/>
      <c r="C56" s="1502"/>
      <c r="D56" s="1502"/>
      <c r="E56" s="1502"/>
      <c r="F56" s="1502"/>
      <c r="G56" s="1502"/>
    </row>
    <row r="57" spans="2:7" x14ac:dyDescent="0.25"/>
  </sheetData>
  <sheetProtection sheet="1" objects="1" scenarios="1"/>
  <mergeCells count="36">
    <mergeCell ref="B3:G3"/>
    <mergeCell ref="C48:G48"/>
    <mergeCell ref="B17:G20"/>
    <mergeCell ref="B7:G7"/>
    <mergeCell ref="B15:G15"/>
    <mergeCell ref="C38:G38"/>
    <mergeCell ref="C39:G39"/>
    <mergeCell ref="C40:G40"/>
    <mergeCell ref="C41:G41"/>
    <mergeCell ref="C42:G42"/>
    <mergeCell ref="C32:G32"/>
    <mergeCell ref="C21:F21"/>
    <mergeCell ref="C22:F22"/>
    <mergeCell ref="C23:F23"/>
    <mergeCell ref="C24:F24"/>
    <mergeCell ref="C5:F5"/>
    <mergeCell ref="C45:G46"/>
    <mergeCell ref="C26:F26"/>
    <mergeCell ref="C29:G29"/>
    <mergeCell ref="C30:G30"/>
    <mergeCell ref="C25:G25"/>
    <mergeCell ref="C33:F33"/>
    <mergeCell ref="C35:F35"/>
    <mergeCell ref="C37:F37"/>
    <mergeCell ref="C44:F44"/>
    <mergeCell ref="C43:F43"/>
    <mergeCell ref="C36:F36"/>
    <mergeCell ref="C34:F34"/>
    <mergeCell ref="C31:G31"/>
    <mergeCell ref="C27:F27"/>
    <mergeCell ref="C28:F28"/>
    <mergeCell ref="C9:F9"/>
    <mergeCell ref="C8:F8"/>
    <mergeCell ref="C10:F10"/>
    <mergeCell ref="C12:F12"/>
    <mergeCell ref="C14:E14"/>
  </mergeCells>
  <hyperlinks>
    <hyperlink ref="F14" r:id="rId1" xr:uid="{C787DB75-D178-4DD9-A967-B7E0F13C812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F8D8-723B-4CC0-A4A3-9E7308277702}">
  <sheetPr codeName="Sheet7">
    <tabColor theme="9" tint="0.39997558519241921"/>
  </sheetPr>
  <dimension ref="A1:AB49"/>
  <sheetViews>
    <sheetView showGridLines="0" zoomScaleNormal="100" workbookViewId="0">
      <pane xSplit="3" ySplit="3" topLeftCell="D36" activePane="bottomRight" state="frozen"/>
      <selection pane="topRight" activeCell="D1" sqref="D1"/>
      <selection pane="bottomLeft" activeCell="A4" sqref="A4"/>
      <selection pane="bottomRight" activeCell="E8" sqref="E8"/>
    </sheetView>
  </sheetViews>
  <sheetFormatPr defaultColWidth="0" defaultRowHeight="12.5" zeroHeight="1" x14ac:dyDescent="0.25"/>
  <cols>
    <col min="1" max="1" width="3.453125" customWidth="1"/>
    <col min="2" max="2" width="7.1796875" customWidth="1"/>
    <col min="3" max="3" width="51.54296875" customWidth="1"/>
    <col min="4" max="4" width="6" customWidth="1"/>
    <col min="5" max="5" width="50.54296875" customWidth="1"/>
    <col min="6" max="6" width="15.1796875" customWidth="1"/>
    <col min="7" max="17" width="9.1796875" customWidth="1"/>
    <col min="18" max="18" width="3.453125" customWidth="1"/>
    <col min="19" max="24" width="9.1796875" hidden="1" customWidth="1"/>
    <col min="25" max="25" width="37.54296875" hidden="1" customWidth="1"/>
    <col min="26" max="26" width="37.81640625" hidden="1" customWidth="1"/>
    <col min="27" max="27" width="12.1796875" hidden="1" customWidth="1"/>
    <col min="28" max="16384" width="9.1796875" hidden="1"/>
  </cols>
  <sheetData>
    <row r="1" spans="2:17" ht="18" customHeight="1" x14ac:dyDescent="0.25"/>
    <row r="2" spans="2:17" ht="102" customHeight="1" x14ac:dyDescent="0.25"/>
    <row r="3" spans="2:17" ht="42" customHeight="1" x14ac:dyDescent="0.25">
      <c r="B3" s="1875" t="s">
        <v>29</v>
      </c>
      <c r="C3" s="1875"/>
      <c r="D3" s="1875"/>
      <c r="E3" s="1875"/>
      <c r="F3" s="1875"/>
      <c r="G3" s="1875"/>
      <c r="H3" s="1875"/>
      <c r="I3" s="1875"/>
      <c r="J3" s="1875"/>
      <c r="K3" s="1875"/>
      <c r="L3" s="1875"/>
      <c r="M3" s="1875"/>
      <c r="N3" s="1875"/>
      <c r="O3" s="1875"/>
      <c r="P3" s="1875"/>
      <c r="Q3" s="1875"/>
    </row>
    <row r="4" spans="2:17" x14ac:dyDescent="0.25">
      <c r="B4" s="121"/>
      <c r="C4" s="122"/>
      <c r="D4" s="122"/>
      <c r="E4" s="122"/>
      <c r="F4" s="122"/>
      <c r="G4" s="122"/>
      <c r="H4" s="122"/>
      <c r="I4" s="122"/>
      <c r="J4" s="122"/>
      <c r="K4" s="122"/>
      <c r="L4" s="122"/>
      <c r="M4" s="122"/>
      <c r="N4" s="122"/>
      <c r="O4" s="122"/>
      <c r="P4" s="122"/>
      <c r="Q4" s="123"/>
    </row>
    <row r="5" spans="2:17" ht="20" x14ac:dyDescent="0.25">
      <c r="B5" s="124"/>
      <c r="C5" s="142" t="s">
        <v>1314</v>
      </c>
      <c r="D5" s="126"/>
      <c r="E5" s="126"/>
      <c r="F5" s="126"/>
      <c r="G5" s="126"/>
      <c r="H5" s="126"/>
      <c r="I5" s="126"/>
      <c r="J5" s="126"/>
      <c r="K5" s="126"/>
      <c r="L5" s="126"/>
      <c r="M5" s="126"/>
      <c r="N5" s="126"/>
      <c r="O5" s="126"/>
      <c r="P5" s="126"/>
      <c r="Q5" s="127"/>
    </row>
    <row r="6" spans="2:17" ht="15.5" x14ac:dyDescent="0.25">
      <c r="B6" s="171"/>
      <c r="C6" s="153"/>
      <c r="D6" s="153"/>
      <c r="E6" s="130" t="s">
        <v>31</v>
      </c>
      <c r="F6" s="130"/>
      <c r="G6" s="153"/>
      <c r="H6" s="175"/>
      <c r="I6" s="175"/>
      <c r="J6" s="172"/>
      <c r="K6" s="153"/>
      <c r="L6" s="153"/>
      <c r="M6" s="153"/>
      <c r="N6" s="153"/>
      <c r="O6" s="153"/>
      <c r="P6" s="153"/>
      <c r="Q6" s="174"/>
    </row>
    <row r="7" spans="2:17" ht="15.5" x14ac:dyDescent="0.25">
      <c r="B7" s="46"/>
      <c r="C7" s="47"/>
      <c r="D7" s="47"/>
      <c r="E7" s="47"/>
      <c r="F7" s="47"/>
      <c r="G7" s="47"/>
      <c r="H7" s="48"/>
      <c r="I7" s="48"/>
      <c r="J7" s="47"/>
      <c r="K7" s="47"/>
      <c r="L7" s="47"/>
      <c r="M7" s="47"/>
      <c r="N7" s="47"/>
      <c r="O7" s="47"/>
      <c r="P7" s="47"/>
      <c r="Q7" s="49"/>
    </row>
    <row r="8" spans="2:17" ht="15.5" x14ac:dyDescent="0.25">
      <c r="B8" s="46"/>
      <c r="C8" s="47" t="s">
        <v>32</v>
      </c>
      <c r="D8" s="47"/>
      <c r="E8" s="748"/>
      <c r="F8" s="50"/>
      <c r="G8" s="47"/>
      <c r="H8" s="48"/>
      <c r="I8" s="48"/>
      <c r="J8" s="47"/>
      <c r="K8" s="47"/>
      <c r="L8" s="47"/>
      <c r="M8" s="47"/>
      <c r="N8" s="47"/>
      <c r="O8" s="47"/>
      <c r="P8" s="47"/>
      <c r="Q8" s="49"/>
    </row>
    <row r="9" spans="2:17" ht="15.5" x14ac:dyDescent="0.25">
      <c r="B9" s="46"/>
      <c r="C9" s="47" t="s">
        <v>33</v>
      </c>
      <c r="D9" s="49"/>
      <c r="E9" s="946"/>
      <c r="F9" s="50"/>
      <c r="G9" s="47"/>
      <c r="H9" s="48"/>
      <c r="I9" s="48"/>
      <c r="J9" s="47"/>
      <c r="K9" s="47"/>
      <c r="L9" s="47"/>
      <c r="M9" s="47"/>
      <c r="N9" s="47"/>
      <c r="O9" s="47"/>
      <c r="P9" s="47"/>
      <c r="Q9" s="49"/>
    </row>
    <row r="10" spans="2:17" ht="15.5" x14ac:dyDescent="0.25">
      <c r="B10" s="46"/>
      <c r="C10" s="47" t="s">
        <v>35</v>
      </c>
      <c r="D10" s="47"/>
      <c r="E10" s="947"/>
      <c r="F10" s="539"/>
      <c r="G10" s="47"/>
      <c r="H10" s="48"/>
      <c r="I10" s="48"/>
      <c r="J10" s="47"/>
      <c r="K10" s="47"/>
      <c r="L10" s="47"/>
      <c r="M10" s="47"/>
      <c r="N10" s="47"/>
      <c r="O10" s="47"/>
      <c r="P10" s="47"/>
      <c r="Q10" s="49"/>
    </row>
    <row r="11" spans="2:17" ht="15.5" x14ac:dyDescent="0.25">
      <c r="B11" s="46"/>
      <c r="C11" s="47" t="s">
        <v>36</v>
      </c>
      <c r="D11" s="47"/>
      <c r="E11" s="1717"/>
      <c r="F11" s="51"/>
      <c r="G11" s="47"/>
      <c r="H11" s="48"/>
      <c r="I11" s="48"/>
      <c r="J11" s="52"/>
      <c r="K11" s="47"/>
      <c r="L11" s="47"/>
      <c r="M11" s="47"/>
      <c r="N11" s="47"/>
      <c r="O11" s="47"/>
      <c r="P11" s="47"/>
      <c r="Q11" s="49"/>
    </row>
    <row r="12" spans="2:17" ht="15.5" x14ac:dyDescent="0.25">
      <c r="B12" s="46"/>
      <c r="C12" s="1698" t="s">
        <v>54</v>
      </c>
      <c r="D12" s="1699"/>
      <c r="E12" s="1718"/>
      <c r="F12" s="48"/>
      <c r="G12" s="47"/>
      <c r="H12" s="48"/>
      <c r="I12" s="48"/>
      <c r="J12" s="47"/>
      <c r="K12" s="47"/>
      <c r="L12" s="47"/>
      <c r="M12" s="47"/>
      <c r="N12" s="63"/>
      <c r="O12" s="63"/>
      <c r="P12" s="63"/>
      <c r="Q12" s="49"/>
    </row>
    <row r="13" spans="2:17" x14ac:dyDescent="0.25">
      <c r="B13" s="53"/>
      <c r="C13" s="54"/>
      <c r="D13" s="54"/>
      <c r="E13" s="54"/>
      <c r="F13" s="54"/>
      <c r="G13" s="54"/>
      <c r="H13" s="54"/>
      <c r="I13" s="54"/>
      <c r="J13" s="54"/>
      <c r="K13" s="54"/>
      <c r="L13" s="54"/>
      <c r="M13" s="54"/>
      <c r="N13" s="54"/>
      <c r="O13" s="54"/>
      <c r="P13" s="54"/>
      <c r="Q13" s="55"/>
    </row>
    <row r="14" spans="2:17" x14ac:dyDescent="0.25"/>
    <row r="15" spans="2:17" x14ac:dyDescent="0.25">
      <c r="B15" s="133"/>
      <c r="C15" s="134"/>
      <c r="D15" s="134"/>
      <c r="E15" s="134"/>
      <c r="F15" s="134"/>
      <c r="G15" s="134"/>
      <c r="H15" s="134"/>
      <c r="I15" s="134"/>
      <c r="J15" s="134"/>
      <c r="K15" s="134"/>
      <c r="L15" s="134"/>
      <c r="M15" s="134"/>
      <c r="N15" s="134"/>
      <c r="O15" s="134"/>
      <c r="P15" s="134"/>
      <c r="Q15" s="135"/>
    </row>
    <row r="16" spans="2:17" ht="15.5" x14ac:dyDescent="0.25">
      <c r="B16" s="136"/>
      <c r="C16" s="137" t="s">
        <v>37</v>
      </c>
      <c r="D16" s="138"/>
      <c r="E16" s="344" t="s">
        <v>38</v>
      </c>
      <c r="F16" s="138"/>
      <c r="G16" s="138"/>
      <c r="H16" s="138"/>
      <c r="I16" s="138"/>
      <c r="J16" s="138"/>
      <c r="K16" s="138"/>
      <c r="L16" s="138"/>
      <c r="M16" s="138"/>
      <c r="N16" s="138"/>
      <c r="O16" s="138"/>
      <c r="P16" s="138"/>
      <c r="Q16" s="140"/>
    </row>
    <row r="17" spans="2:28" ht="15.5" x14ac:dyDescent="0.25">
      <c r="B17" s="176"/>
      <c r="C17" s="177"/>
      <c r="D17" s="177"/>
      <c r="E17" s="131" t="s">
        <v>31</v>
      </c>
      <c r="F17" s="177"/>
      <c r="G17" s="177"/>
      <c r="H17" s="177"/>
      <c r="I17" s="177"/>
      <c r="J17" s="177"/>
      <c r="K17" s="177"/>
      <c r="L17" s="177"/>
      <c r="M17" s="177"/>
      <c r="N17" s="177"/>
      <c r="O17" s="177"/>
      <c r="P17" s="177"/>
      <c r="Q17" s="178"/>
      <c r="Y17" s="285" t="s">
        <v>39</v>
      </c>
      <c r="AA17" s="285" t="s">
        <v>40</v>
      </c>
    </row>
    <row r="18" spans="2:28" ht="15.5" x14ac:dyDescent="0.3">
      <c r="B18" s="57"/>
      <c r="C18" s="58"/>
      <c r="D18" s="58"/>
      <c r="E18" s="58"/>
      <c r="F18" s="58"/>
      <c r="G18" s="58"/>
      <c r="H18" s="58"/>
      <c r="I18" s="58"/>
      <c r="J18" s="58"/>
      <c r="K18" s="58"/>
      <c r="L18" s="58"/>
      <c r="M18" s="58"/>
      <c r="N18" s="58"/>
      <c r="O18" s="58"/>
      <c r="P18" s="58"/>
      <c r="Q18" s="59"/>
      <c r="Y18" s="285" t="s">
        <v>41</v>
      </c>
      <c r="AA18" s="285" t="s">
        <v>42</v>
      </c>
      <c r="AB18" s="822" t="s">
        <v>43</v>
      </c>
    </row>
    <row r="19" spans="2:28" ht="13" x14ac:dyDescent="0.3">
      <c r="B19" s="57"/>
      <c r="C19" s="58" t="s">
        <v>44</v>
      </c>
      <c r="D19" s="58"/>
      <c r="E19" s="1034"/>
      <c r="F19" s="58"/>
      <c r="G19" s="58"/>
      <c r="H19" s="58"/>
      <c r="I19" s="58"/>
      <c r="J19" s="58"/>
      <c r="K19" s="58"/>
      <c r="L19" s="58"/>
      <c r="M19" s="58"/>
      <c r="N19" s="58"/>
      <c r="O19" s="58"/>
      <c r="P19" s="58"/>
      <c r="Q19" s="59"/>
      <c r="Y19" s="1037">
        <f>(iq_batchEnd-iq_batchBegins)+(iq_batchEndTime-iq_batchBegTime)</f>
        <v>0</v>
      </c>
      <c r="Z19" s="822" t="s">
        <v>41</v>
      </c>
      <c r="AA19" s="533">
        <f>(EDATE(iq_batchBegins,12)-iq_batchBegins)/number_of_days_in_annual_rates</f>
        <v>1.0027397260273974</v>
      </c>
      <c r="AB19" s="822" t="s">
        <v>42</v>
      </c>
    </row>
    <row r="20" spans="2:28" ht="13" x14ac:dyDescent="0.3">
      <c r="B20" s="57"/>
      <c r="C20" s="58" t="s">
        <v>45</v>
      </c>
      <c r="D20" s="58"/>
      <c r="E20" s="1035"/>
      <c r="F20" s="58"/>
      <c r="G20" s="58"/>
      <c r="H20" s="58"/>
      <c r="I20" s="58"/>
      <c r="J20" s="58"/>
      <c r="K20" s="58"/>
      <c r="L20" s="58"/>
      <c r="M20" s="58"/>
      <c r="N20" s="58"/>
      <c r="O20" s="58"/>
      <c r="P20" s="58"/>
      <c r="Q20" s="59"/>
      <c r="Y20" s="1531">
        <f>IF(iq_batchDurationDays=0,1,Y19/number_of_days_in_annual_rates)</f>
        <v>1</v>
      </c>
      <c r="Z20" s="822" t="s">
        <v>42</v>
      </c>
    </row>
    <row r="21" spans="2:28" ht="13" x14ac:dyDescent="0.3">
      <c r="B21" s="57"/>
      <c r="C21" s="52"/>
      <c r="D21" s="58"/>
      <c r="E21" s="37"/>
      <c r="F21" s="58"/>
      <c r="G21" s="58"/>
      <c r="H21" s="58"/>
      <c r="I21" s="58"/>
      <c r="J21" s="58"/>
      <c r="K21" s="58"/>
      <c r="L21" s="58"/>
      <c r="M21" s="58"/>
      <c r="N21" s="58"/>
      <c r="O21" s="58"/>
      <c r="P21" s="58"/>
      <c r="Q21" s="59"/>
      <c r="Y21" s="1043"/>
      <c r="Z21" s="822"/>
    </row>
    <row r="22" spans="2:28" x14ac:dyDescent="0.25">
      <c r="B22" s="57"/>
      <c r="C22" s="58" t="s">
        <v>46</v>
      </c>
      <c r="D22" s="58"/>
      <c r="E22" s="1034"/>
      <c r="F22" s="58" t="str">
        <f>IF(iq_batchDurationYears&gt;AA19,"Batch time should be no more than a year","")</f>
        <v/>
      </c>
      <c r="G22" s="58"/>
      <c r="H22" s="58"/>
      <c r="I22" s="58"/>
      <c r="J22" s="58"/>
      <c r="K22" s="58"/>
      <c r="L22" s="58"/>
      <c r="M22" s="58"/>
      <c r="N22" s="58"/>
      <c r="O22" s="58"/>
      <c r="P22" s="58"/>
      <c r="Q22" s="59"/>
    </row>
    <row r="23" spans="2:28" ht="13" x14ac:dyDescent="0.3">
      <c r="B23" s="57"/>
      <c r="C23" s="58" t="s">
        <v>47</v>
      </c>
      <c r="D23" s="58"/>
      <c r="E23" s="1035"/>
      <c r="F23" s="58"/>
      <c r="G23" s="58"/>
      <c r="H23" s="58"/>
      <c r="I23" s="58"/>
      <c r="J23" s="58"/>
      <c r="K23" s="58"/>
      <c r="L23" s="58"/>
      <c r="M23" s="58"/>
      <c r="N23" s="58"/>
      <c r="O23" s="58"/>
      <c r="P23" s="58"/>
      <c r="Q23" s="59"/>
      <c r="Y23" s="227"/>
      <c r="Z23" s="822"/>
    </row>
    <row r="24" spans="2:28" x14ac:dyDescent="0.25">
      <c r="B24" s="60"/>
      <c r="C24" s="61"/>
      <c r="D24" s="61"/>
      <c r="E24" s="61"/>
      <c r="F24" s="61"/>
      <c r="G24" s="61"/>
      <c r="H24" s="61"/>
      <c r="I24" s="61"/>
      <c r="J24" s="61"/>
      <c r="K24" s="61"/>
      <c r="L24" s="61"/>
      <c r="M24" s="61"/>
      <c r="N24" s="61"/>
      <c r="O24" s="61"/>
      <c r="P24" s="61"/>
      <c r="Q24" s="62"/>
    </row>
    <row r="25" spans="2:28" hidden="1" x14ac:dyDescent="0.25">
      <c r="B25" s="56"/>
      <c r="C25" s="56"/>
      <c r="D25" s="56"/>
      <c r="E25" s="56"/>
      <c r="F25" s="56"/>
      <c r="G25" s="56"/>
      <c r="H25" s="56"/>
      <c r="I25" s="56"/>
      <c r="J25" s="56"/>
      <c r="K25" s="56"/>
      <c r="L25" s="56"/>
      <c r="M25" s="56"/>
      <c r="N25" s="56"/>
      <c r="O25" s="56"/>
      <c r="P25" s="56"/>
      <c r="Q25" s="56"/>
    </row>
    <row r="26" spans="2:28" hidden="1" x14ac:dyDescent="0.25">
      <c r="B26" s="121"/>
      <c r="C26" s="122"/>
      <c r="D26" s="122"/>
      <c r="E26" s="122"/>
      <c r="F26" s="122"/>
      <c r="G26" s="122"/>
      <c r="H26" s="122"/>
      <c r="I26" s="122"/>
      <c r="J26" s="122"/>
      <c r="K26" s="122"/>
      <c r="L26" s="122"/>
      <c r="M26" s="122"/>
      <c r="N26" s="122"/>
      <c r="O26" s="122"/>
      <c r="P26" s="122"/>
      <c r="Q26" s="123"/>
    </row>
    <row r="27" spans="2:28" ht="15.5" hidden="1" x14ac:dyDescent="0.25">
      <c r="B27" s="124"/>
      <c r="C27" s="125" t="s">
        <v>48</v>
      </c>
      <c r="D27" s="126"/>
      <c r="E27" s="132"/>
      <c r="F27" s="132"/>
      <c r="G27" s="126"/>
      <c r="H27" s="126"/>
      <c r="I27" s="126"/>
      <c r="J27" s="126"/>
      <c r="K27" s="126"/>
      <c r="L27" s="126"/>
      <c r="M27" s="126"/>
      <c r="N27" s="126"/>
      <c r="O27" s="126"/>
      <c r="P27" s="126"/>
      <c r="Q27" s="127"/>
    </row>
    <row r="28" spans="2:28" ht="15.5" hidden="1" x14ac:dyDescent="0.25">
      <c r="B28" s="171"/>
      <c r="C28" s="153"/>
      <c r="D28" s="153"/>
      <c r="E28" s="130"/>
      <c r="F28" s="130"/>
      <c r="G28" s="172"/>
      <c r="H28" s="131"/>
      <c r="I28" s="131"/>
      <c r="J28" s="172"/>
      <c r="K28" s="172"/>
      <c r="L28" s="172"/>
      <c r="M28" s="172"/>
      <c r="N28" s="172"/>
      <c r="O28" s="130"/>
      <c r="P28" s="172"/>
      <c r="Q28" s="173"/>
    </row>
    <row r="29" spans="2:28" ht="15.5" hidden="1" x14ac:dyDescent="0.25">
      <c r="B29" s="46"/>
      <c r="C29" s="47"/>
      <c r="D29" s="47"/>
      <c r="E29" s="47"/>
      <c r="F29" s="47"/>
      <c r="G29" s="47"/>
      <c r="H29" s="48"/>
      <c r="I29" s="48"/>
      <c r="J29" s="47"/>
      <c r="K29" s="47"/>
      <c r="L29" s="47"/>
      <c r="M29" s="47"/>
      <c r="N29" s="47"/>
      <c r="O29" s="47"/>
      <c r="P29" s="47"/>
      <c r="Q29" s="49"/>
      <c r="Y29" s="285" t="s">
        <v>51</v>
      </c>
      <c r="Z29" s="285" t="s">
        <v>52</v>
      </c>
      <c r="AA29" s="285" t="s">
        <v>53</v>
      </c>
    </row>
    <row r="30" spans="2:28" ht="15.5" hidden="1" x14ac:dyDescent="0.25">
      <c r="B30" s="46"/>
      <c r="C30" s="63" t="s">
        <v>49</v>
      </c>
      <c r="D30" s="47"/>
      <c r="E30" s="1033" t="s">
        <v>50</v>
      </c>
      <c r="F30" s="48"/>
      <c r="G30" s="47"/>
      <c r="H30" s="48"/>
      <c r="I30" s="48"/>
      <c r="J30" s="47"/>
      <c r="K30" s="47"/>
      <c r="L30" s="47"/>
      <c r="M30" s="47"/>
      <c r="N30" s="63"/>
      <c r="O30" s="63"/>
      <c r="P30" s="63"/>
      <c r="Q30" s="49"/>
      <c r="Y30" s="285" t="b">
        <f>NOT(OR(iq_selectedPathway="",iq_selectedPathway="N/A"))</f>
        <v>0</v>
      </c>
      <c r="Z30" s="285" t="b">
        <f>NOT(OR(iq_conditioningProcess="",iq_conditioningProcess="N/A"))</f>
        <v>0</v>
      </c>
      <c r="AA30" s="285" t="b">
        <f>NOT(OR(iq_downstreamProcess="",iq_downstreamProcess="N/A"))</f>
        <v>0</v>
      </c>
    </row>
    <row r="31" spans="2:28" hidden="1" x14ac:dyDescent="0.25">
      <c r="B31" s="36"/>
      <c r="C31" s="37"/>
      <c r="D31" s="37"/>
      <c r="E31" s="37"/>
      <c r="F31" s="37"/>
      <c r="G31" s="37"/>
      <c r="H31" s="37"/>
      <c r="I31" s="37"/>
      <c r="J31" s="37"/>
      <c r="K31" s="37"/>
      <c r="L31" s="37"/>
      <c r="M31" s="37"/>
      <c r="N31" s="37"/>
      <c r="O31" s="37"/>
      <c r="P31" s="37"/>
      <c r="Q31" s="38"/>
    </row>
    <row r="32" spans="2:28" ht="15.5" hidden="1" x14ac:dyDescent="0.25">
      <c r="B32" s="46"/>
      <c r="C32" s="1700" t="s">
        <v>56</v>
      </c>
      <c r="D32" s="1699"/>
      <c r="E32" s="1701"/>
      <c r="F32" s="63"/>
      <c r="G32" s="47"/>
      <c r="H32" s="48"/>
      <c r="I32" s="48"/>
      <c r="J32" s="47"/>
      <c r="K32" s="47"/>
      <c r="L32" s="47"/>
      <c r="M32" s="47"/>
      <c r="N32" s="63"/>
      <c r="O32" s="63"/>
      <c r="P32" s="63"/>
      <c r="Q32" s="49"/>
    </row>
    <row r="33" spans="1:25" ht="15.5" hidden="1" x14ac:dyDescent="0.25">
      <c r="B33" s="46"/>
      <c r="C33" s="1700" t="s">
        <v>57</v>
      </c>
      <c r="D33" s="1699"/>
      <c r="E33" s="1702"/>
      <c r="F33" s="63"/>
      <c r="G33" s="47"/>
      <c r="H33" s="48"/>
      <c r="I33" s="48"/>
      <c r="J33" s="47"/>
      <c r="K33" s="47"/>
      <c r="L33" s="47"/>
      <c r="M33" s="47"/>
      <c r="N33" s="63"/>
      <c r="O33" s="63"/>
      <c r="P33" s="63"/>
      <c r="Q33" s="49"/>
      <c r="Y33" s="285" t="s">
        <v>58</v>
      </c>
    </row>
    <row r="34" spans="1:25" ht="15.5" hidden="1" x14ac:dyDescent="0.25">
      <c r="B34" s="53"/>
      <c r="C34" s="65"/>
      <c r="D34" s="54"/>
      <c r="E34" s="54"/>
      <c r="F34" s="54"/>
      <c r="G34" s="54"/>
      <c r="H34" s="65"/>
      <c r="I34" s="65"/>
      <c r="J34" s="54"/>
      <c r="K34" s="54"/>
      <c r="L34" s="54"/>
      <c r="M34" s="54"/>
      <c r="N34" s="66"/>
      <c r="O34" s="67"/>
      <c r="P34" s="67"/>
      <c r="Q34" s="55"/>
      <c r="Y34" s="533" t="str" cm="1">
        <f t="array" ref="Y34">_xlfn.IFS((iq_downStreamIncluded=FALSE)*(iq_conditioningIncluded=TRUE)*(iq_conditioningProcess='Hidden Lists and Summaries'!B44),'Hidden Lists and Summaries'!B39,
(iq_downStreamIncluded=FALSE)*(iq_conditioningIncluded=TRUE)*(iq_conditioningProcess='Hidden Lists and Summaries'!B46),"LOHC",
(iq_downStreamIncluded=FALSE)*(iq_conditioningIncluded=TRUE)*(iq_conditioningProcess='Hidden Lists and Summaries'!B45),'Hidden Lists and Summaries'!B38,
TRUE,'Hidden Lists and Summaries'!B37)</f>
        <v>Hydrogen</v>
      </c>
    </row>
    <row r="35" spans="1:25" x14ac:dyDescent="0.25"/>
    <row r="36" spans="1:25" ht="15.5" x14ac:dyDescent="0.25">
      <c r="B36" s="121"/>
      <c r="C36" s="122"/>
      <c r="D36" s="122"/>
      <c r="E36" s="122"/>
      <c r="F36" s="122"/>
      <c r="G36" s="122"/>
      <c r="H36" s="122"/>
      <c r="I36" s="122"/>
      <c r="J36" s="122"/>
      <c r="K36" s="122"/>
      <c r="L36" s="122"/>
      <c r="M36" s="122"/>
      <c r="N36" s="122"/>
      <c r="O36" s="122"/>
      <c r="P36" s="122"/>
      <c r="Q36" s="123"/>
      <c r="Y36" s="285" t="s">
        <v>59</v>
      </c>
    </row>
    <row r="37" spans="1:25" ht="15.5" x14ac:dyDescent="0.25">
      <c r="B37" s="124"/>
      <c r="C37" s="125" t="s">
        <v>60</v>
      </c>
      <c r="D37" s="126"/>
      <c r="E37" s="132"/>
      <c r="F37" s="132"/>
      <c r="G37" s="126"/>
      <c r="H37" s="126"/>
      <c r="I37" s="126"/>
      <c r="J37" s="126"/>
      <c r="K37" s="126"/>
      <c r="L37" s="126"/>
      <c r="M37" s="126"/>
      <c r="N37" s="126"/>
      <c r="O37" s="126"/>
      <c r="P37" s="126"/>
      <c r="Q37" s="127"/>
      <c r="Y37" s="533" t="b">
        <f>OR(iq_primaryProduct=Y34,AND(Y34="LOHC",OR( iq_primaryProduct='Hidden Lists and Summaries'!B40,iq_primaryProduct='Hidden Lists and Summaries'!B41)))</f>
        <v>1</v>
      </c>
    </row>
    <row r="38" spans="1:25" ht="15.5" x14ac:dyDescent="0.25">
      <c r="B38" s="171"/>
      <c r="C38" s="153"/>
      <c r="D38" s="153"/>
      <c r="E38" s="130" t="s">
        <v>31</v>
      </c>
      <c r="F38" s="270"/>
      <c r="G38" s="172"/>
      <c r="H38" s="131"/>
      <c r="I38" s="131"/>
      <c r="J38" s="172"/>
      <c r="K38" s="172"/>
      <c r="L38" s="172"/>
      <c r="M38" s="172"/>
      <c r="N38" s="172"/>
      <c r="O38" s="130"/>
      <c r="P38" s="172"/>
      <c r="Q38" s="173"/>
    </row>
    <row r="39" spans="1:25" ht="15.5" x14ac:dyDescent="0.25">
      <c r="B39" s="46"/>
      <c r="C39" s="47"/>
      <c r="D39" s="47"/>
      <c r="E39" s="621"/>
      <c r="F39" s="47"/>
      <c r="G39" s="47"/>
      <c r="H39" s="48"/>
      <c r="I39" s="48"/>
      <c r="J39" s="47"/>
      <c r="K39" s="47"/>
      <c r="L39" s="47"/>
      <c r="M39" s="47"/>
      <c r="N39" s="47"/>
      <c r="O39" s="47"/>
      <c r="P39" s="47"/>
      <c r="Q39" s="49"/>
    </row>
    <row r="40" spans="1:25" ht="15.5" x14ac:dyDescent="0.25">
      <c r="B40" s="46"/>
      <c r="C40" s="817" t="s">
        <v>61</v>
      </c>
      <c r="D40" s="47"/>
      <c r="E40" s="945"/>
      <c r="F40" s="47"/>
      <c r="G40" s="47"/>
      <c r="H40" s="48"/>
      <c r="I40" s="48"/>
      <c r="J40" s="47"/>
      <c r="K40" s="47"/>
      <c r="L40" s="47"/>
      <c r="M40" s="47"/>
      <c r="N40" s="63"/>
      <c r="O40" s="63"/>
      <c r="P40" s="63"/>
      <c r="Q40" s="49"/>
    </row>
    <row r="41" spans="1:25" ht="15.5" x14ac:dyDescent="0.25">
      <c r="B41" s="46"/>
      <c r="C41" s="621" t="s">
        <v>63</v>
      </c>
      <c r="D41" s="47"/>
      <c r="E41" s="946"/>
      <c r="F41" s="47"/>
      <c r="G41" s="47"/>
      <c r="H41" s="48"/>
      <c r="I41" s="48"/>
      <c r="J41" s="47"/>
      <c r="K41" s="47"/>
      <c r="L41" s="47"/>
      <c r="M41" s="47"/>
      <c r="N41" s="63"/>
      <c r="O41" s="63"/>
      <c r="P41" s="63"/>
      <c r="Q41" s="49"/>
    </row>
    <row r="42" spans="1:25" ht="15.5" x14ac:dyDescent="0.25">
      <c r="B42" s="46"/>
      <c r="C42" s="817" t="s">
        <v>64</v>
      </c>
      <c r="D42" s="47"/>
      <c r="E42" s="946"/>
      <c r="F42" s="47"/>
      <c r="G42" s="47"/>
      <c r="H42" s="48"/>
      <c r="I42" s="48"/>
      <c r="J42" s="47"/>
      <c r="K42" s="47"/>
      <c r="L42" s="47"/>
      <c r="M42" s="47"/>
      <c r="N42" s="63"/>
      <c r="O42" s="63"/>
      <c r="P42" s="63"/>
      <c r="Q42" s="49"/>
    </row>
    <row r="43" spans="1:25" ht="15.5" x14ac:dyDescent="0.25">
      <c r="B43" s="46"/>
      <c r="C43" s="818" t="s">
        <v>65</v>
      </c>
      <c r="D43" s="47"/>
      <c r="E43" s="946"/>
      <c r="F43" s="63"/>
      <c r="G43" s="47"/>
      <c r="H43" s="48"/>
      <c r="I43" s="48"/>
      <c r="J43" s="47"/>
      <c r="K43" s="47"/>
      <c r="L43" s="47"/>
      <c r="M43" s="47"/>
      <c r="N43" s="63"/>
      <c r="O43" s="63"/>
      <c r="P43" s="63"/>
      <c r="Q43" s="49"/>
    </row>
    <row r="44" spans="1:25" x14ac:dyDescent="0.25">
      <c r="A44" s="261"/>
      <c r="B44" s="37"/>
      <c r="C44" s="37" t="s">
        <v>66</v>
      </c>
      <c r="D44" s="38"/>
      <c r="E44" s="946"/>
      <c r="F44" s="37"/>
      <c r="G44" s="37"/>
      <c r="H44" s="37"/>
      <c r="I44" s="37"/>
      <c r="J44" s="37"/>
      <c r="K44" s="37"/>
      <c r="L44" s="37"/>
      <c r="M44" s="37"/>
      <c r="N44" s="37"/>
      <c r="O44" s="37"/>
      <c r="P44" s="37"/>
      <c r="Q44" s="38"/>
    </row>
    <row r="45" spans="1:25" ht="15.5" x14ac:dyDescent="0.25">
      <c r="B45" s="46"/>
      <c r="C45" s="818" t="s">
        <v>67</v>
      </c>
      <c r="D45" s="47"/>
      <c r="E45" s="946"/>
      <c r="F45" s="63"/>
      <c r="G45" s="47"/>
      <c r="H45" s="48"/>
      <c r="I45" s="48"/>
      <c r="J45" s="47"/>
      <c r="K45" s="47"/>
      <c r="L45" s="47"/>
      <c r="M45" s="47"/>
      <c r="N45" s="63"/>
      <c r="O45" s="63"/>
      <c r="P45" s="63"/>
      <c r="Q45" s="49"/>
    </row>
    <row r="46" spans="1:25" ht="15.5" x14ac:dyDescent="0.25">
      <c r="B46" s="46"/>
      <c r="C46" s="818" t="s">
        <v>69</v>
      </c>
      <c r="D46" s="49"/>
      <c r="E46" s="747"/>
      <c r="F46" s="63"/>
      <c r="G46" s="47"/>
      <c r="H46" s="48"/>
      <c r="I46" s="48"/>
      <c r="J46" s="47"/>
      <c r="K46" s="47"/>
      <c r="L46" s="47"/>
      <c r="M46" s="47"/>
      <c r="N46" s="63"/>
      <c r="O46" s="63"/>
      <c r="P46" s="63"/>
      <c r="Q46" s="49"/>
    </row>
    <row r="47" spans="1:25" ht="15.5" x14ac:dyDescent="0.25">
      <c r="B47" s="46"/>
      <c r="C47" s="817" t="s">
        <v>70</v>
      </c>
      <c r="D47" s="47"/>
      <c r="E47" s="1712"/>
      <c r="F47" s="47"/>
      <c r="G47" s="47"/>
      <c r="H47" s="48"/>
      <c r="I47" s="48"/>
      <c r="J47" s="47"/>
      <c r="K47" s="47"/>
      <c r="L47" s="47"/>
      <c r="M47" s="47"/>
      <c r="N47" s="63"/>
      <c r="O47" s="63"/>
      <c r="P47" s="63"/>
      <c r="Q47" s="49"/>
    </row>
    <row r="48" spans="1:25" ht="15.5" x14ac:dyDescent="0.25">
      <c r="B48" s="53"/>
      <c r="C48" s="65"/>
      <c r="D48" s="54"/>
      <c r="E48" s="54"/>
      <c r="F48" s="54"/>
      <c r="G48" s="54"/>
      <c r="H48" s="65"/>
      <c r="I48" s="65"/>
      <c r="J48" s="54"/>
      <c r="K48" s="54"/>
      <c r="L48" s="54"/>
      <c r="M48" s="54"/>
      <c r="N48" s="66"/>
      <c r="O48" s="67"/>
      <c r="P48" s="67"/>
      <c r="Q48" s="55"/>
    </row>
    <row r="49" x14ac:dyDescent="0.25"/>
  </sheetData>
  <sheetProtection sheet="1" selectLockedCells="1"/>
  <dataConsolidate/>
  <mergeCells count="1">
    <mergeCell ref="B3:Q3"/>
  </mergeCells>
  <conditionalFormatting sqref="E30">
    <cfRule type="expression" dxfId="263" priority="1">
      <formula>$Y$37=FALSE</formula>
    </cfRule>
  </conditionalFormatting>
  <dataValidations count="5">
    <dataValidation allowBlank="1" showInputMessage="1" showErrorMessage="1" prompt="Only carbon dioxide captured for permanent geological storage considered under the Proposed Method. In alignment with the NGER Measurement Determination, no other forms of storage (mineral carbonation) or utilization are considered by this Method." sqref="E42" xr:uid="{D139CC91-5158-40B3-BFAC-E4C7FC489EDA}"/>
    <dataValidation type="list" allowBlank="1" showInputMessage="1" showErrorMessage="1" sqref="E12" xr:uid="{648834EB-5B4F-47DB-9E22-5E3F0857598B}">
      <formula1>Hydrogen_Production_Pathway_Options</formula1>
    </dataValidation>
    <dataValidation type="list" allowBlank="1" showInputMessage="1" showErrorMessage="1" prompt="Cell will show red if incompatiable product and pathway/processes are selected" sqref="E30" xr:uid="{4C81F1EE-1748-454C-9022-0623C715C585}">
      <formula1>Primary_Product_Options</formula1>
    </dataValidation>
    <dataValidation type="list" allowBlank="1" showInputMessage="1" showErrorMessage="1" sqref="E32" xr:uid="{EE13A872-2518-4701-A354-9AED83042EC0}">
      <formula1>Hydrogen_Conditioning_Process_Options</formula1>
    </dataValidation>
    <dataValidation type="date" operator="greaterThan" allowBlank="1" showInputMessage="1" showErrorMessage="1" prompt="Enter date in format: DD/MM/YYYY" sqref="E22 E19 E11:E12" xr:uid="{A0CFA6A9-6154-4B08-AADB-28C5530C41F5}">
      <formula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arbon Credits (Carbon Farming Initiative— Carbon Capture and Storage) Methodology Determination 2021" xr:uid="{E86616E6-0259-4765-9AE0-93328255991F}">
          <x14:formula1>
            <xm:f>'Hidden Lists and Summaries'!$B$151:$B$152</xm:f>
          </x14:formula1>
          <xm:sqref>E45</xm:sqref>
        </x14:dataValidation>
        <x14:dataValidation type="list" allowBlank="1" showInputMessage="1" showErrorMessage="1" xr:uid="{1D8418A9-5002-44FF-9129-746F07BD31AE}">
          <x14:formula1>
            <xm:f>'Hidden Lists and Summaries'!$B$19:$B$26</xm:f>
          </x14:formula1>
          <xm:sqref>E9</xm:sqref>
        </x14:dataValidation>
        <x14:dataValidation type="list" allowBlank="1" showInputMessage="1" showErrorMessage="1" xr:uid="{5FADB938-8AD8-40F3-ABEE-789C61DB9E0E}">
          <x14:formula1>
            <xm:f>'Hidden Lists and Summaries'!$B$60:$B$62</xm:f>
          </x14:formula1>
          <xm:sqref>E33</xm:sqref>
        </x14:dataValidation>
        <x14:dataValidation type="list" allowBlank="1" showInputMessage="1" showErrorMessage="1" prompt="Select time in 24 hour h:mm format" xr:uid="{28CC7C84-5446-4EF7-A60E-CF8810D92DFB}">
          <x14:formula1>
            <xm:f>'Hidden Lists and Summaries'!$B$116:$B$139</xm:f>
          </x14:formula1>
          <xm:sqref>E20 E23</xm:sqref>
        </x14:dataValidation>
        <x14:dataValidation type="list" allowBlank="1" showInputMessage="1" showErrorMessage="1" xr:uid="{A06C6BB5-0077-491C-8DE9-25B4AF4D8C70}">
          <x14:formula1>
            <xm:f>'Hidden Lists and Summaries'!$B$151:$B$152</xm:f>
          </x14:formula1>
          <xm:sqref>E40</xm:sqref>
        </x14:dataValidation>
        <x14:dataValidation type="list" allowBlank="1" showInputMessage="1" showErrorMessage="1" prompt="Metro is defined as located on or east of the dividing ranges in NSW, including Canberra and Queanbeyan, Melbourne, Brisbane, Adelaide or Perth. Otherwise, select 'No'" xr:uid="{17F007AA-0F2E-4CA8-8348-A07CF608060E}">
          <x14:formula1>
            <xm:f>'Hidden Lists and Summaries'!$B$151:$B$152</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2233-5202-488F-B7B2-CE38F1B11A27}">
  <sheetPr codeName="Sheet16">
    <tabColor theme="9" tint="0.39997558519241921"/>
  </sheetPr>
  <dimension ref="A1:AJ127"/>
  <sheetViews>
    <sheetView showGridLines="0" zoomScaleNormal="100" workbookViewId="0">
      <pane xSplit="4" ySplit="6" topLeftCell="E7" activePane="bottomRight" state="frozen"/>
      <selection pane="topRight" activeCell="E1" sqref="E1"/>
      <selection pane="bottomLeft" activeCell="A7" sqref="A7"/>
      <selection pane="bottomRight" activeCell="E58" sqref="E58"/>
    </sheetView>
  </sheetViews>
  <sheetFormatPr defaultColWidth="0" defaultRowHeight="15.5" zeroHeight="1" x14ac:dyDescent="0.25"/>
  <cols>
    <col min="1" max="1" width="3.453125" style="43" customWidth="1"/>
    <col min="2" max="2" width="3.54296875" style="43" customWidth="1"/>
    <col min="3" max="3" width="39.54296875" style="43" customWidth="1"/>
    <col min="4" max="4" width="11.453125" style="43" customWidth="1"/>
    <col min="5" max="5" width="34" style="43" bestFit="1" customWidth="1"/>
    <col min="6" max="6" width="44" style="43" customWidth="1"/>
    <col min="7" max="7" width="15.453125" style="43" customWidth="1"/>
    <col min="8" max="8" width="23.453125" style="43" bestFit="1" customWidth="1"/>
    <col min="9" max="9" width="21.54296875" style="43" bestFit="1" customWidth="1"/>
    <col min="10" max="10" width="4.54296875" style="43" bestFit="1" customWidth="1"/>
    <col min="11" max="11" width="3.453125" style="43" customWidth="1"/>
    <col min="12" max="12" width="4.54296875" style="43" customWidth="1"/>
    <col min="13" max="18" width="3.453125" style="43" hidden="1" customWidth="1"/>
    <col min="19" max="19" width="60.453125" style="43" hidden="1" customWidth="1"/>
    <col min="20" max="24" width="31.54296875" style="43" hidden="1" customWidth="1"/>
    <col min="25" max="25" width="20.453125" style="43" hidden="1" customWidth="1"/>
    <col min="26" max="28" width="19.453125" style="43" hidden="1" customWidth="1"/>
    <col min="29" max="16384" width="8.54296875" style="43" hidden="1"/>
  </cols>
  <sheetData>
    <row r="1" spans="2:28" ht="18" customHeight="1" x14ac:dyDescent="0.25"/>
    <row r="2" spans="2:28" ht="102.65" customHeight="1" x14ac:dyDescent="0.25"/>
    <row r="3" spans="2:28" ht="35.25" customHeight="1" x14ac:dyDescent="0.25">
      <c r="B3" s="1875" t="s">
        <v>29</v>
      </c>
      <c r="C3" s="1875"/>
      <c r="D3" s="1875"/>
      <c r="E3" s="1875"/>
      <c r="F3" s="1875"/>
      <c r="G3" s="1875"/>
      <c r="H3" s="1875"/>
      <c r="I3" s="1875"/>
      <c r="J3" s="1875"/>
      <c r="K3" s="1875"/>
      <c r="L3" s="925"/>
      <c r="M3" s="925"/>
      <c r="N3" s="925"/>
      <c r="O3" s="925"/>
      <c r="P3" s="925"/>
      <c r="Q3" s="925"/>
    </row>
    <row r="4" spans="2:28" ht="15.65" customHeight="1" x14ac:dyDescent="0.25">
      <c r="B4" s="44"/>
      <c r="C4" s="44"/>
      <c r="D4" s="44"/>
      <c r="E4" s="44"/>
      <c r="F4" s="44"/>
      <c r="G4" s="44"/>
      <c r="H4" s="44"/>
      <c r="I4" s="44"/>
      <c r="J4" s="44"/>
      <c r="K4" s="44"/>
      <c r="S4" s="276"/>
      <c r="T4" s="277"/>
      <c r="U4" s="277"/>
      <c r="V4" s="277"/>
      <c r="W4" s="277"/>
      <c r="X4" s="277"/>
      <c r="Y4" s="277"/>
      <c r="Z4" s="342"/>
      <c r="AA4" s="280"/>
      <c r="AB4" s="280"/>
    </row>
    <row r="5" spans="2:28" ht="15.65" customHeight="1" x14ac:dyDescent="0.25">
      <c r="B5" s="44"/>
      <c r="C5" s="45" t="s">
        <v>71</v>
      </c>
      <c r="D5" s="44"/>
      <c r="E5" s="44"/>
      <c r="F5" s="44"/>
      <c r="G5" s="44"/>
      <c r="H5" s="44"/>
      <c r="I5" s="44"/>
      <c r="J5" s="44"/>
      <c r="K5" s="44"/>
      <c r="S5" s="279" t="s">
        <v>72</v>
      </c>
      <c r="T5" s="280"/>
      <c r="U5" s="280"/>
      <c r="V5" s="280"/>
      <c r="W5" s="280"/>
      <c r="X5" s="44"/>
      <c r="Y5" s="44"/>
      <c r="Z5" s="292"/>
      <c r="AA5" s="280"/>
      <c r="AB5" s="280"/>
    </row>
    <row r="6" spans="2:28" ht="15.65" customHeight="1" x14ac:dyDescent="0.25">
      <c r="B6" s="44"/>
      <c r="C6" s="44"/>
      <c r="D6" s="44"/>
      <c r="E6" s="44"/>
      <c r="F6" s="44"/>
      <c r="G6" s="44"/>
      <c r="H6" s="44"/>
      <c r="I6" s="44"/>
      <c r="J6" s="44"/>
      <c r="K6" s="44"/>
      <c r="S6" s="281"/>
      <c r="T6" s="280"/>
      <c r="U6" s="280"/>
      <c r="V6" s="280"/>
      <c r="W6" s="280"/>
      <c r="X6" s="44"/>
      <c r="Y6" s="44"/>
      <c r="Z6" s="292"/>
      <c r="AA6" s="280"/>
      <c r="AB6" s="280"/>
    </row>
    <row r="7" spans="2:28" ht="15.65" customHeight="1" x14ac:dyDescent="0.25">
      <c r="S7" s="786"/>
      <c r="T7" s="104"/>
      <c r="U7" s="104"/>
      <c r="V7" s="104"/>
      <c r="W7" s="104"/>
      <c r="X7" s="104"/>
      <c r="Y7" s="104"/>
      <c r="Z7" s="104"/>
      <c r="AA7" s="104"/>
      <c r="AB7" s="278"/>
    </row>
    <row r="8" spans="2:28" ht="15.65" customHeight="1" x14ac:dyDescent="0.25">
      <c r="B8" s="121"/>
      <c r="C8" s="122"/>
      <c r="D8" s="122"/>
      <c r="E8" s="122"/>
      <c r="F8" s="122"/>
      <c r="G8" s="122"/>
      <c r="H8" s="122"/>
      <c r="I8" s="122"/>
      <c r="J8" s="122"/>
      <c r="K8" s="123"/>
      <c r="S8" s="263"/>
      <c r="T8" s="91"/>
      <c r="U8" s="91" t="s">
        <v>73</v>
      </c>
      <c r="V8" s="91"/>
      <c r="W8" s="91"/>
      <c r="X8" s="91"/>
      <c r="Y8" s="91"/>
      <c r="Z8" s="91"/>
      <c r="AA8" s="91"/>
      <c r="AB8" s="218"/>
    </row>
    <row r="9" spans="2:28" ht="15.65" customHeight="1" x14ac:dyDescent="0.25">
      <c r="B9" s="124"/>
      <c r="C9" s="125" t="s">
        <v>74</v>
      </c>
      <c r="D9" s="126"/>
      <c r="E9" s="126"/>
      <c r="F9" s="126"/>
      <c r="G9" s="126"/>
      <c r="H9" s="126"/>
      <c r="I9" s="126"/>
      <c r="J9" s="126"/>
      <c r="K9" s="127"/>
      <c r="S9" s="285" t="s">
        <v>75</v>
      </c>
      <c r="T9" s="73" t="s">
        <v>76</v>
      </c>
      <c r="U9" s="73" t="s">
        <v>77</v>
      </c>
      <c r="V9" s="283" t="s">
        <v>78</v>
      </c>
      <c r="W9" s="295" t="s">
        <v>79</v>
      </c>
      <c r="X9" s="91"/>
      <c r="Y9" s="91"/>
      <c r="Z9" s="91"/>
      <c r="AA9" s="91"/>
      <c r="AB9" s="218"/>
    </row>
    <row r="10" spans="2:28" ht="15.65" customHeight="1" x14ac:dyDescent="0.25">
      <c r="B10" s="171"/>
      <c r="C10" s="153"/>
      <c r="D10" s="153"/>
      <c r="E10" s="130" t="s">
        <v>80</v>
      </c>
      <c r="F10" s="130" t="s">
        <v>81</v>
      </c>
      <c r="G10" s="153"/>
      <c r="H10" s="153"/>
      <c r="I10" s="130" t="s">
        <v>82</v>
      </c>
      <c r="J10" s="153"/>
      <c r="K10" s="174"/>
      <c r="S10" s="285"/>
      <c r="T10" s="73"/>
      <c r="U10" s="73"/>
      <c r="V10" s="283"/>
      <c r="W10" s="295"/>
      <c r="X10" s="91"/>
      <c r="Y10" s="91"/>
      <c r="Z10" s="91"/>
      <c r="AA10" s="91"/>
      <c r="AB10" s="218"/>
    </row>
    <row r="11" spans="2:28" ht="15.65" customHeight="1" x14ac:dyDescent="0.25">
      <c r="B11" s="544"/>
      <c r="C11" s="48"/>
      <c r="D11" s="48"/>
      <c r="E11" s="48"/>
      <c r="F11" s="48"/>
      <c r="G11" s="48"/>
      <c r="H11" s="48"/>
      <c r="I11" s="48"/>
      <c r="J11" s="48"/>
      <c r="K11" s="542"/>
      <c r="S11" s="286" t="s">
        <v>83</v>
      </c>
      <c r="T11" s="74" t="s">
        <v>83</v>
      </c>
      <c r="U11" s="74" t="s">
        <v>83</v>
      </c>
      <c r="V11" s="283" t="s">
        <v>84</v>
      </c>
      <c r="W11" s="295"/>
      <c r="X11" s="91"/>
      <c r="Y11" s="91"/>
      <c r="Z11" s="91"/>
      <c r="AA11" s="91"/>
      <c r="AB11" s="218"/>
    </row>
    <row r="12" spans="2:28" ht="15.65" customHeight="1" x14ac:dyDescent="0.25">
      <c r="B12" s="46"/>
      <c r="C12" s="81" t="s">
        <v>85</v>
      </c>
      <c r="D12" s="47"/>
      <c r="E12" s="540"/>
      <c r="F12" s="913" t="s">
        <v>86</v>
      </c>
      <c r="G12" s="47"/>
      <c r="H12" s="742" t="s">
        <v>87</v>
      </c>
      <c r="I12" s="743" t="s">
        <v>88</v>
      </c>
      <c r="J12" s="105"/>
      <c r="K12" s="49"/>
      <c r="S12" s="274" t="e">
        <f>VLOOKUP(iq_location,Scope2EmissionFactors[#All], 2, FALSE)</f>
        <v>#N/A</v>
      </c>
      <c r="T12" s="104" t="e">
        <f>VLOOKUP(iq_location,Scope3EmissionFactors[#All],2,FALSE)</f>
        <v>#N/A</v>
      </c>
      <c r="U12" s="104" t="e">
        <f>IF(W12='Key Values'!$B$155,
(S12+T12),
0)</f>
        <v>#N/A</v>
      </c>
      <c r="V12" s="310">
        <f>V22</f>
        <v>0</v>
      </c>
      <c r="W12" s="781" t="s">
        <v>89</v>
      </c>
      <c r="X12" s="91"/>
      <c r="Y12" s="91"/>
      <c r="Z12" s="91"/>
      <c r="AA12" s="91"/>
      <c r="AB12" s="218"/>
    </row>
    <row r="13" spans="2:28" ht="15.65" customHeight="1" x14ac:dyDescent="0.25">
      <c r="B13" s="46"/>
      <c r="C13" s="47"/>
      <c r="D13" s="47"/>
      <c r="E13" s="1532"/>
      <c r="F13" s="47"/>
      <c r="G13" s="47"/>
      <c r="H13" s="744" t="str">
        <f>IFERROR(U12*V12,'Hidden Lists and Summaries'!$C$158)</f>
        <v>Error -  Review inputs</v>
      </c>
      <c r="I13" s="745">
        <f>MAX(IFERROR(U13*V13,'Hidden Lists and Summaries'!$C$158),0)</f>
        <v>0</v>
      </c>
      <c r="J13" s="147" t="s">
        <v>90</v>
      </c>
      <c r="K13" s="49"/>
      <c r="S13" s="224" t="e">
        <f>VLOOKUP(iq_location,Scope2EmissionFactors[#All], 2, FALSE)</f>
        <v>#N/A</v>
      </c>
      <c r="T13" s="185" t="e">
        <f>VLOOKUP(iq_location,Scope3EmissionFactors[#All],2,FALSE)</f>
        <v>#N/A</v>
      </c>
      <c r="U13" s="185">
        <f>IF(W13='Key Values'!$B$156,'Key Values'!$C$149,0)</f>
        <v>0.95499999999999996</v>
      </c>
      <c r="V13" s="325">
        <f>IF(V12&gt;=0,X22,'Hidden Lists and Summaries'!$C$159)</f>
        <v>0</v>
      </c>
      <c r="W13" s="782" t="s">
        <v>91</v>
      </c>
      <c r="X13" s="91"/>
      <c r="Y13" s="91"/>
      <c r="Z13" s="91"/>
      <c r="AA13" s="91"/>
      <c r="AB13" s="218"/>
    </row>
    <row r="14" spans="2:28" ht="15.65" customHeight="1" x14ac:dyDescent="0.25">
      <c r="B14" s="545"/>
      <c r="C14" s="65"/>
      <c r="D14" s="65"/>
      <c r="E14" s="65"/>
      <c r="F14" s="65"/>
      <c r="G14" s="65"/>
      <c r="H14" s="65"/>
      <c r="I14" s="65"/>
      <c r="J14" s="65"/>
      <c r="K14" s="543"/>
      <c r="S14" s="263"/>
      <c r="T14" s="91"/>
      <c r="U14" s="91"/>
      <c r="V14" s="91"/>
      <c r="W14" s="91"/>
      <c r="X14" s="91"/>
      <c r="Y14" s="91"/>
      <c r="Z14" s="91"/>
      <c r="AA14" s="91"/>
      <c r="AB14" s="218"/>
    </row>
    <row r="15" spans="2:28" ht="15.65" customHeight="1" x14ac:dyDescent="0.25">
      <c r="S15" s="263"/>
      <c r="T15" s="91"/>
      <c r="U15" s="91"/>
      <c r="V15" s="91"/>
      <c r="W15" s="91"/>
      <c r="X15" s="91"/>
      <c r="Y15" s="91"/>
      <c r="Z15" s="91"/>
      <c r="AA15" s="91"/>
      <c r="AB15" s="218"/>
    </row>
    <row r="16" spans="2:28" ht="15.65" customHeight="1" x14ac:dyDescent="0.25">
      <c r="B16" s="121"/>
      <c r="C16" s="122"/>
      <c r="D16" s="122"/>
      <c r="E16" s="122"/>
      <c r="F16" s="122"/>
      <c r="G16" s="122"/>
      <c r="H16" s="122"/>
      <c r="I16" s="122"/>
      <c r="J16" s="122"/>
      <c r="K16" s="123"/>
      <c r="S16" s="217"/>
      <c r="T16" s="91"/>
      <c r="U16" s="91"/>
      <c r="V16" s="91"/>
      <c r="W16" s="91"/>
      <c r="X16" s="91"/>
      <c r="Y16" s="91"/>
      <c r="Z16" s="91"/>
      <c r="AA16" s="91"/>
      <c r="AB16" s="218"/>
    </row>
    <row r="17" spans="2:28" ht="15" customHeight="1" x14ac:dyDescent="0.25">
      <c r="B17" s="124"/>
      <c r="C17" s="125" t="s">
        <v>92</v>
      </c>
      <c r="D17" s="126"/>
      <c r="E17" s="126"/>
      <c r="F17" s="126"/>
      <c r="G17" s="126"/>
      <c r="H17" s="126"/>
      <c r="I17" s="126"/>
      <c r="J17" s="126"/>
      <c r="K17" s="127"/>
      <c r="S17" s="217"/>
      <c r="T17" s="91"/>
      <c r="U17" s="91"/>
      <c r="V17" s="91"/>
      <c r="W17" s="91"/>
      <c r="X17" s="91"/>
      <c r="Y17" s="91"/>
      <c r="Z17" s="91"/>
      <c r="AA17" s="91"/>
      <c r="AB17" s="218"/>
    </row>
    <row r="18" spans="2:28" ht="15.65" customHeight="1" x14ac:dyDescent="0.25">
      <c r="B18" s="171"/>
      <c r="C18" s="153"/>
      <c r="D18" s="153"/>
      <c r="E18" s="130" t="s">
        <v>80</v>
      </c>
      <c r="F18" s="130" t="s">
        <v>81</v>
      </c>
      <c r="G18" s="153"/>
      <c r="H18" s="153"/>
      <c r="I18" s="130"/>
      <c r="J18" s="153"/>
      <c r="K18" s="174"/>
      <c r="S18" s="263"/>
      <c r="T18"/>
      <c r="U18"/>
      <c r="V18"/>
      <c r="W18"/>
      <c r="X18" s="91"/>
      <c r="Y18" s="91"/>
      <c r="Z18" s="91"/>
      <c r="AA18" s="91"/>
      <c r="AB18" s="218"/>
    </row>
    <row r="19" spans="2:28" ht="15.65" customHeight="1" x14ac:dyDescent="0.25">
      <c r="B19" s="158"/>
      <c r="C19" s="154"/>
      <c r="D19" s="154"/>
      <c r="E19" s="159"/>
      <c r="F19" s="159"/>
      <c r="G19" s="154"/>
      <c r="H19" s="154"/>
      <c r="I19" s="159"/>
      <c r="J19" s="154"/>
      <c r="K19" s="170"/>
      <c r="S19" s="551"/>
      <c r="AB19" s="218"/>
    </row>
    <row r="20" spans="2:28" ht="15.65" customHeight="1" x14ac:dyDescent="0.25">
      <c r="B20" s="46"/>
      <c r="C20" s="621" t="s">
        <v>93</v>
      </c>
      <c r="D20" s="47"/>
      <c r="E20" s="943"/>
      <c r="F20" s="46"/>
      <c r="G20" s="47"/>
      <c r="H20" s="48"/>
      <c r="I20" s="47"/>
      <c r="J20" s="48"/>
      <c r="K20" s="49"/>
      <c r="S20" s="285" t="s">
        <v>94</v>
      </c>
      <c r="T20"/>
      <c r="U20" s="91"/>
      <c r="V20" s="73" t="s">
        <v>95</v>
      </c>
      <c r="W20" s="73" t="s">
        <v>96</v>
      </c>
      <c r="X20" s="73" t="s">
        <v>97</v>
      </c>
      <c r="Y20" s="91"/>
      <c r="Z20" s="91"/>
      <c r="AA20" s="91"/>
      <c r="AB20" s="218"/>
    </row>
    <row r="21" spans="2:28" ht="15.65" customHeight="1" x14ac:dyDescent="0.25">
      <c r="B21" s="46"/>
      <c r="C21" s="621"/>
      <c r="D21" s="47"/>
      <c r="E21" s="48"/>
      <c r="F21" s="65"/>
      <c r="G21" s="47"/>
      <c r="H21" s="47"/>
      <c r="I21" s="47"/>
      <c r="J21" s="47"/>
      <c r="K21" s="49"/>
      <c r="S21" s="285" t="s">
        <v>84</v>
      </c>
      <c r="T21"/>
      <c r="U21" s="91"/>
      <c r="V21" s="73" t="s">
        <v>84</v>
      </c>
      <c r="W21" s="73" t="s">
        <v>84</v>
      </c>
      <c r="X21" s="73" t="s">
        <v>84</v>
      </c>
      <c r="Y21" s="91"/>
      <c r="Z21" s="91"/>
      <c r="AA21" s="91"/>
      <c r="AB21" s="218"/>
    </row>
    <row r="22" spans="2:28" x14ac:dyDescent="0.3">
      <c r="B22" s="46"/>
      <c r="C22" s="805" t="s">
        <v>1307</v>
      </c>
      <c r="D22" s="47"/>
      <c r="E22" s="926"/>
      <c r="F22" s="917" t="s">
        <v>86</v>
      </c>
      <c r="G22" s="47"/>
      <c r="H22" s="47"/>
      <c r="I22" s="47"/>
      <c r="J22" s="47"/>
      <c r="K22" s="49"/>
      <c r="S22" s="783">
        <f>E22*VLOOKUP(F22,EnergyConversionTable[],3)</f>
        <v>0</v>
      </c>
      <c r="T22" s="787" t="s">
        <v>98</v>
      </c>
      <c r="U22" s="91"/>
      <c r="V22" s="547">
        <f>E12*VLOOKUP(F12,EnergyConversionTable[#All], 3, FALSE)</f>
        <v>0</v>
      </c>
      <c r="W22" s="547">
        <f>SUM(S22:S25)</f>
        <v>0</v>
      </c>
      <c r="X22" s="311">
        <f>V22-W22</f>
        <v>0</v>
      </c>
      <c r="Y22" s="91"/>
      <c r="Z22" s="91"/>
      <c r="AA22" s="91"/>
      <c r="AB22" s="218"/>
    </row>
    <row r="23" spans="2:28" ht="15.65" customHeight="1" x14ac:dyDescent="0.3">
      <c r="B23" s="46"/>
      <c r="C23" s="815" t="s">
        <v>1345</v>
      </c>
      <c r="D23" s="47"/>
      <c r="E23" s="1839"/>
      <c r="F23" s="47" t="s">
        <v>409</v>
      </c>
      <c r="G23" s="47"/>
      <c r="H23" s="47"/>
      <c r="I23" s="47"/>
      <c r="J23" s="47"/>
      <c r="K23" s="49"/>
      <c r="S23" s="1837">
        <f>E23/100*E12*VLOOKUP(F12,EnergyConversionTable[],3)</f>
        <v>0</v>
      </c>
      <c r="T23" s="787" t="s">
        <v>99</v>
      </c>
      <c r="U23" s="91"/>
      <c r="V23"/>
      <c r="W23"/>
      <c r="X23" s="91"/>
      <c r="Y23" s="91"/>
      <c r="Z23" s="91"/>
      <c r="AA23" s="91"/>
      <c r="AB23" s="218"/>
    </row>
    <row r="24" spans="2:28" ht="30" customHeight="1" x14ac:dyDescent="0.3">
      <c r="B24" s="46"/>
      <c r="C24" s="1840" t="s">
        <v>1346</v>
      </c>
      <c r="D24" s="47"/>
      <c r="E24" s="1527">
        <f>IF(iq_location='Key Values'!$B$11, overall_totalImportedElectricity/VLOOKUP(F24,EnergyConversionTable[],3)*(ACT_Jurisdictional_Renewables_Constant),0)+E23/100*overall_totalImportedElectricity/VLOOKUP(F24,EnergyConversionTable[],3)</f>
        <v>0</v>
      </c>
      <c r="F24" s="1838" t="s">
        <v>86</v>
      </c>
      <c r="G24" s="47"/>
      <c r="H24" s="47"/>
      <c r="I24" s="47"/>
      <c r="J24" s="47"/>
      <c r="K24" s="49"/>
      <c r="S24" s="1837">
        <f>E24*VLOOKUP(F24,EnergyConversionTable[],3)-S23</f>
        <v>0</v>
      </c>
      <c r="T24" s="787" t="s">
        <v>100</v>
      </c>
      <c r="U24" s="91"/>
      <c r="V24"/>
      <c r="W24"/>
      <c r="X24" s="91"/>
      <c r="Y24" s="91"/>
      <c r="Z24" s="91"/>
      <c r="AA24" s="91"/>
      <c r="AB24" s="218"/>
    </row>
    <row r="25" spans="2:28" x14ac:dyDescent="0.3">
      <c r="B25" s="46"/>
      <c r="C25" s="805" t="s">
        <v>1306</v>
      </c>
      <c r="D25" s="76"/>
      <c r="E25" s="1527">
        <f>(IF(E20='Hidden Lists and Summaries'!B151,0,IF(iq_location='Key Values'!$B$11,0,(overall_totalImportedElectricity)*(RPP)) + IF(iq_location='Key Values'!$B$11, overall_totalImportedElectricity*(RPP),0))/VLOOKUP(F25,EnergyConversionTable[],3))</f>
        <v>0</v>
      </c>
      <c r="F25" s="914" t="s">
        <v>86</v>
      </c>
      <c r="G25" s="47"/>
      <c r="H25" s="47"/>
      <c r="I25" s="47"/>
      <c r="J25" s="47"/>
      <c r="K25" s="49"/>
      <c r="S25" s="784">
        <f>E25*VLOOKUP(F25,EnergyConversionTable[],3)</f>
        <v>0</v>
      </c>
      <c r="T25" s="787" t="s">
        <v>101</v>
      </c>
      <c r="U25" s="91"/>
      <c r="V25"/>
      <c r="W25"/>
      <c r="X25" s="91"/>
      <c r="Y25" s="91"/>
      <c r="Z25" s="91"/>
      <c r="AA25" s="91"/>
      <c r="AB25" s="218"/>
    </row>
    <row r="26" spans="2:28" ht="15.65" customHeight="1" x14ac:dyDescent="0.25">
      <c r="B26" s="46"/>
      <c r="C26" s="815" t="s">
        <v>102</v>
      </c>
      <c r="D26" s="47"/>
      <c r="E26" s="916">
        <f>overall_verifiedRenewableElectricityImported/VLOOKUP(F26,EnergyConversionTable[],3)</f>
        <v>0</v>
      </c>
      <c r="F26" s="915" t="s">
        <v>86</v>
      </c>
      <c r="G26" s="47"/>
      <c r="H26" s="47"/>
      <c r="I26" s="47"/>
      <c r="J26" s="47"/>
      <c r="K26" s="49"/>
      <c r="S26" s="785"/>
      <c r="T26"/>
      <c r="U26"/>
      <c r="V26"/>
      <c r="W26"/>
      <c r="X26" s="91"/>
      <c r="Y26" s="91"/>
      <c r="Z26" s="91"/>
      <c r="AA26" s="91"/>
      <c r="AB26" s="218"/>
    </row>
    <row r="27" spans="2:28" ht="15.65" customHeight="1" x14ac:dyDescent="0.25">
      <c r="B27" s="46"/>
      <c r="C27" s="58"/>
      <c r="D27" s="47"/>
      <c r="E27" s="52"/>
      <c r="F27" s="52"/>
      <c r="G27" s="47"/>
      <c r="H27" s="47"/>
      <c r="I27" s="47"/>
      <c r="J27" s="47"/>
      <c r="K27" s="49"/>
      <c r="S27" s="263"/>
      <c r="T27"/>
      <c r="U27"/>
      <c r="V27"/>
      <c r="W27"/>
      <c r="X27" s="91"/>
      <c r="Y27" s="91"/>
      <c r="Z27" s="91"/>
      <c r="AA27" s="91"/>
      <c r="AB27" s="218"/>
    </row>
    <row r="28" spans="2:28" ht="15.65" customHeight="1" x14ac:dyDescent="0.25">
      <c r="B28" s="46"/>
      <c r="C28" s="816" t="s">
        <v>103</v>
      </c>
      <c r="D28" s="47"/>
      <c r="E28" s="918">
        <f>MAX(overall_residualElectricity/VLOOKUP(F28,EnergyConversionTable[],3),0)</f>
        <v>0</v>
      </c>
      <c r="F28" s="917" t="s">
        <v>86</v>
      </c>
      <c r="G28" s="1532"/>
      <c r="H28" s="47"/>
      <c r="I28" s="47"/>
      <c r="J28" s="47"/>
      <c r="K28" s="49"/>
      <c r="S28" s="263"/>
      <c r="T28"/>
      <c r="U28"/>
      <c r="V28"/>
      <c r="W28"/>
      <c r="X28" s="91"/>
      <c r="Y28" s="91"/>
      <c r="Z28" s="91"/>
      <c r="AA28" s="91"/>
      <c r="AB28" s="218"/>
    </row>
    <row r="29" spans="2:28" ht="15.65" customHeight="1" x14ac:dyDescent="0.25">
      <c r="B29" s="46"/>
      <c r="C29" s="58"/>
      <c r="D29" s="47"/>
      <c r="E29" s="52"/>
      <c r="F29" s="52"/>
      <c r="G29" s="47"/>
      <c r="H29" s="47"/>
      <c r="I29" s="47"/>
      <c r="J29" s="47"/>
      <c r="K29" s="49"/>
      <c r="S29" s="263"/>
      <c r="T29"/>
      <c r="U29"/>
      <c r="V29"/>
      <c r="W29"/>
      <c r="X29" s="91"/>
      <c r="Y29" s="91"/>
      <c r="Z29" s="91"/>
      <c r="AA29" s="91"/>
      <c r="AB29" s="218"/>
    </row>
    <row r="30" spans="2:28" ht="15.65" customHeight="1" x14ac:dyDescent="0.25">
      <c r="B30" s="46"/>
      <c r="C30" s="816" t="s">
        <v>104</v>
      </c>
      <c r="D30" s="47"/>
      <c r="E30" s="541"/>
      <c r="F30" s="919" t="s">
        <v>86</v>
      </c>
      <c r="G30" s="47"/>
      <c r="H30" s="47"/>
      <c r="I30" s="47"/>
      <c r="J30" s="47"/>
      <c r="K30" s="49"/>
      <c r="S30" s="263"/>
      <c r="T30"/>
      <c r="U30"/>
      <c r="V30"/>
      <c r="W30"/>
      <c r="X30" s="91"/>
      <c r="Y30" s="91"/>
      <c r="Z30" s="91"/>
      <c r="AA30" s="91"/>
      <c r="AB30" s="218"/>
    </row>
    <row r="31" spans="2:28" ht="15.65" customHeight="1" x14ac:dyDescent="0.25">
      <c r="B31" s="53"/>
      <c r="C31" s="54"/>
      <c r="D31" s="54"/>
      <c r="E31" s="54"/>
      <c r="F31" s="165"/>
      <c r="G31" s="54"/>
      <c r="H31" s="75"/>
      <c r="I31" s="75"/>
      <c r="J31" s="240"/>
      <c r="K31" s="55"/>
      <c r="S31" s="263"/>
      <c r="T31"/>
      <c r="U31"/>
      <c r="V31"/>
      <c r="W31"/>
      <c r="X31" s="91"/>
      <c r="Y31" s="91"/>
      <c r="Z31" s="91"/>
      <c r="AA31" s="91"/>
      <c r="AB31" s="218"/>
    </row>
    <row r="32" spans="2:28" ht="15.65" customHeight="1" x14ac:dyDescent="0.25">
      <c r="B32" s="71"/>
      <c r="C32" s="71"/>
      <c r="D32" s="71"/>
      <c r="E32" s="71"/>
      <c r="F32" s="71"/>
      <c r="G32" s="71"/>
      <c r="H32" s="239"/>
      <c r="I32" s="239"/>
      <c r="J32" s="71"/>
      <c r="K32" s="71"/>
      <c r="S32" s="217"/>
      <c r="T32" s="91"/>
      <c r="U32" s="91"/>
      <c r="V32" s="91"/>
      <c r="W32" s="91"/>
      <c r="X32" s="91"/>
      <c r="Y32" s="91"/>
      <c r="Z32" s="91"/>
      <c r="AA32" s="91"/>
      <c r="AB32" s="218"/>
    </row>
    <row r="33" spans="2:31" ht="15.65" customHeight="1" x14ac:dyDescent="0.25">
      <c r="B33" s="121"/>
      <c r="C33" s="122"/>
      <c r="D33" s="122"/>
      <c r="E33" s="122"/>
      <c r="F33" s="122"/>
      <c r="G33" s="122"/>
      <c r="H33" s="122"/>
      <c r="I33" s="122"/>
      <c r="J33" s="122"/>
      <c r="K33" s="123"/>
      <c r="R33" s="91"/>
      <c r="S33" s="217"/>
      <c r="T33" s="91"/>
      <c r="U33" s="91"/>
      <c r="V33" s="91"/>
      <c r="W33" s="91"/>
      <c r="X33" s="91"/>
      <c r="Y33" s="91"/>
      <c r="Z33" s="91"/>
      <c r="AA33" s="91"/>
      <c r="AB33" s="218"/>
    </row>
    <row r="34" spans="2:31" ht="15.65" customHeight="1" x14ac:dyDescent="0.25">
      <c r="B34" s="124"/>
      <c r="C34" s="145" t="s">
        <v>105</v>
      </c>
      <c r="D34" s="144"/>
      <c r="E34" s="144"/>
      <c r="F34" s="144"/>
      <c r="G34" s="144"/>
      <c r="H34" s="144"/>
      <c r="I34" s="144"/>
      <c r="J34" s="144"/>
      <c r="K34" s="127"/>
      <c r="S34" s="551"/>
      <c r="T34" s="91"/>
      <c r="U34" s="91"/>
      <c r="V34" s="91"/>
      <c r="W34" s="91"/>
      <c r="X34" s="91"/>
      <c r="Y34" s="91"/>
      <c r="Z34" s="91"/>
      <c r="AA34" s="91"/>
      <c r="AB34" s="218"/>
    </row>
    <row r="35" spans="2:31" ht="15.65" customHeight="1" x14ac:dyDescent="0.25">
      <c r="B35" s="171"/>
      <c r="C35" s="153"/>
      <c r="D35" s="153"/>
      <c r="E35" s="130"/>
      <c r="F35" s="130"/>
      <c r="G35" s="172"/>
      <c r="H35" s="172"/>
      <c r="I35" s="130" t="s">
        <v>82</v>
      </c>
      <c r="J35" s="172"/>
      <c r="K35" s="173"/>
      <c r="S35" s="288" t="s">
        <v>106</v>
      </c>
      <c r="T35" s="289" t="s">
        <v>107</v>
      </c>
      <c r="U35" s="290" t="s">
        <v>108</v>
      </c>
      <c r="V35" s="283" t="s">
        <v>109</v>
      </c>
      <c r="W35" s="283" t="s">
        <v>110</v>
      </c>
      <c r="X35" s="283" t="s">
        <v>111</v>
      </c>
      <c r="Y35"/>
      <c r="Z35"/>
      <c r="AA35"/>
      <c r="AB35" s="218"/>
    </row>
    <row r="36" spans="2:31" ht="15.65" customHeight="1" x14ac:dyDescent="0.25">
      <c r="B36" s="158"/>
      <c r="C36" s="154"/>
      <c r="D36" s="154"/>
      <c r="E36" s="159"/>
      <c r="F36" s="159"/>
      <c r="G36" s="161"/>
      <c r="H36" s="161"/>
      <c r="I36" s="159"/>
      <c r="J36" s="161"/>
      <c r="K36" s="162"/>
      <c r="S36" s="288"/>
      <c r="T36" s="289"/>
      <c r="U36" s="290"/>
      <c r="V36" s="283"/>
      <c r="W36" s="283"/>
      <c r="X36" s="283"/>
      <c r="Y36"/>
      <c r="Z36"/>
      <c r="AA36"/>
      <c r="AB36" s="218"/>
    </row>
    <row r="37" spans="2:31" ht="15.65" customHeight="1" x14ac:dyDescent="0.25">
      <c r="B37" s="46"/>
      <c r="C37" s="1714" t="s">
        <v>112</v>
      </c>
      <c r="D37" s="160"/>
      <c r="E37" s="938"/>
      <c r="F37" s="47"/>
      <c r="G37" s="47"/>
      <c r="H37" s="103" t="s">
        <v>666</v>
      </c>
      <c r="I37" s="111">
        <f>IF(AND(E37="",E38="",E39=""),0,IFERROR(T38*U38*V38,'Hidden Lists and Summaries'!$C$158))</f>
        <v>0</v>
      </c>
      <c r="J37" s="105" t="s">
        <v>90</v>
      </c>
      <c r="K37" s="49"/>
      <c r="S37" s="286" t="s">
        <v>113</v>
      </c>
      <c r="T37" s="290" t="s">
        <v>114</v>
      </c>
      <c r="U37" s="286" t="s">
        <v>113</v>
      </c>
      <c r="V37" s="283" t="s">
        <v>115</v>
      </c>
      <c r="W37" s="283" t="s">
        <v>116</v>
      </c>
      <c r="X37" s="283" t="s">
        <v>84</v>
      </c>
      <c r="Y37"/>
      <c r="Z37"/>
      <c r="AA37"/>
      <c r="AB37" s="218"/>
    </row>
    <row r="38" spans="2:31" ht="15.65" customHeight="1" x14ac:dyDescent="0.25">
      <c r="B38" s="46"/>
      <c r="C38" s="1714" t="s">
        <v>117</v>
      </c>
      <c r="D38" s="160"/>
      <c r="E38" s="1690"/>
      <c r="F38" s="47"/>
      <c r="G38" s="47"/>
      <c r="H38" s="106" t="s">
        <v>1310</v>
      </c>
      <c r="I38" s="107">
        <f>IF(AND(E37="",E38="",E39=""),0,IFERROR($W38,'Hidden Lists and Summaries'!$C$158))</f>
        <v>0</v>
      </c>
      <c r="J38" s="108" t="s">
        <v>90</v>
      </c>
      <c r="K38" s="49"/>
      <c r="S38" s="302" t="str">
        <f>IF(E40&lt;&gt;"",E40,
IF(E37="Solid Fuel",VLOOKUP(E38,'Key Values'!$B$40:$G$58,6,FALSE),
IF(E37="Gaseous Fuel", VLOOKUP(E38,'Key Values'!$B$71:$G$88,6,FALSE),
IF(E37="Liquid Fuel", VLOOKUP(E38,'Key Values'!$B$100:$H$120,7,FALSE),
'Hidden Lists and Summaries'!$C$157))))</f>
        <v>No default, please enter a bespoke value</v>
      </c>
      <c r="T38" s="104" t="e">
        <f>IF(E41&lt;&gt;"",E41,IF(E37="Solid Fuel",VLOOKUP(E38,'Key Values'!$B$40:$G$58,2,FALSE),
IF(E37="Gaseous Fuel",VLOOKUP(E38,'Key Values'!$B$71:$G$88,2,FALSE),
VLOOKUP(E38,'Key Values'!$B$100:$H$120,2,FALSE))))</f>
        <v>#N/A</v>
      </c>
      <c r="U38" s="303" t="e" cm="1">
        <f t="array" ref="U38">_xlfn.IFS(E42&lt;&gt;"",E42,E37="Solid Fuel", VLOOKUP(E38,'Key Values'!$B$61:$C$68,2,FALSE),E37=
"Liquid fuel",VLOOKUP(E38,'Key Values'!$B$123:$C$143,2,FALSE),E37=
"Gaseous Fuel", IF(VLOOKUP(E38,GasFuel[#All],7,FALSE)=TRUE,IF(E38='Key Values'!$B$77,'Hidden Lists and Summaries'!$C$157,VLOOKUP(iq_location,GaseousFuelEmbodiedEmissions[#All],IF(iq_metro="Yes",2,3),FALSE)),'Hidden Lists and Summaries'!$C$157))</f>
        <v>#N/A</v>
      </c>
      <c r="V38" s="303" t="e" cm="1">
        <f t="array" ref="V38">_xlfn.IFS('Key Values'!$B$35=E37, VLOOKUP(F39,massConv[#All], 2, FALSE),
'Key Values'!$B$36=E37, IF(VLOOKUP(E38,'Key Values'!$B$101:$H$121,3,FALSE)="GJ/t", VLOOKUP(F39,massConv[#All], 2, FALSE), VLOOKUP(F39,volConv[#All], 2, FALSE)),
'Key Values'!$B$37=E37, VLOOKUP(F39,volConv[#All], 2, FALSE)) * E39</f>
        <v>#N/A</v>
      </c>
      <c r="W38" s="524" t="e">
        <f>S38*T38*V38</f>
        <v>#VALUE!</v>
      </c>
      <c r="X38" s="91">
        <f>E43*VLOOKUP(F43,EnergyConversionTable[#All],3)</f>
        <v>0</v>
      </c>
      <c r="Y38"/>
      <c r="Z38"/>
      <c r="AA38"/>
      <c r="AB38" s="218"/>
    </row>
    <row r="39" spans="2:31" ht="15" customHeight="1" x14ac:dyDescent="0.25">
      <c r="B39" s="46"/>
      <c r="C39" s="1714" t="s">
        <v>119</v>
      </c>
      <c r="D39" s="160"/>
      <c r="E39" s="527"/>
      <c r="F39" s="741"/>
      <c r="G39" s="47"/>
      <c r="H39" s="109" t="s">
        <v>120</v>
      </c>
      <c r="I39" s="546">
        <f>SUM(I37:I38)</f>
        <v>0</v>
      </c>
      <c r="J39" s="110" t="s">
        <v>90</v>
      </c>
      <c r="K39" s="49"/>
      <c r="S39" s="293"/>
      <c r="T39" s="91"/>
      <c r="U39" s="94"/>
      <c r="V39" s="94"/>
      <c r="W39" s="525"/>
      <c r="X39"/>
      <c r="Y39"/>
      <c r="Z39"/>
      <c r="AA39"/>
      <c r="AB39" s="218"/>
    </row>
    <row r="40" spans="2:31" ht="15.65" customHeight="1" x14ac:dyDescent="0.25">
      <c r="B40" s="46"/>
      <c r="C40" s="1714" t="s">
        <v>1308</v>
      </c>
      <c r="D40" s="160"/>
      <c r="E40" s="940"/>
      <c r="F40" s="47"/>
      <c r="G40" s="47"/>
      <c r="H40" s="47"/>
      <c r="I40" s="47"/>
      <c r="J40" s="47"/>
      <c r="K40" s="49"/>
      <c r="S40" s="293"/>
      <c r="T40" s="91"/>
      <c r="U40" s="94"/>
      <c r="V40" s="94"/>
      <c r="W40" s="525"/>
      <c r="X40"/>
      <c r="Y40"/>
      <c r="Z40"/>
      <c r="AA40"/>
      <c r="AB40" s="218"/>
    </row>
    <row r="41" spans="2:31" ht="15.65" customHeight="1" x14ac:dyDescent="0.25">
      <c r="B41" s="46"/>
      <c r="C41" s="1714" t="s">
        <v>1304</v>
      </c>
      <c r="D41" s="160"/>
      <c r="E41" s="941"/>
      <c r="F41" s="47"/>
      <c r="G41" s="47"/>
      <c r="H41" s="47"/>
      <c r="I41" s="47"/>
      <c r="J41" s="47"/>
      <c r="K41" s="49"/>
      <c r="S41" s="293"/>
      <c r="T41" s="91"/>
      <c r="U41" s="94"/>
      <c r="V41" s="94"/>
      <c r="W41" s="525"/>
      <c r="X41"/>
      <c r="Y41"/>
      <c r="Z41"/>
      <c r="AA41"/>
      <c r="AB41" s="218"/>
    </row>
    <row r="42" spans="2:31" ht="15.75" customHeight="1" x14ac:dyDescent="0.25">
      <c r="B42" s="46"/>
      <c r="C42" s="1715" t="s">
        <v>1309</v>
      </c>
      <c r="D42" s="160"/>
      <c r="E42" s="942"/>
      <c r="F42" s="47" t="str">
        <f>IF(AND(ISERROR(U38*1),E38&lt;&gt;""),'Hidden Lists and Summaries'!$C$157,"")</f>
        <v/>
      </c>
      <c r="G42" s="47"/>
      <c r="H42" s="47"/>
      <c r="I42" s="47"/>
      <c r="J42" s="47"/>
      <c r="K42" s="49"/>
      <c r="S42" s="306"/>
      <c r="T42" s="185"/>
      <c r="U42" s="307"/>
      <c r="V42" s="307"/>
      <c r="W42" s="225"/>
      <c r="X42"/>
      <c r="Y42"/>
      <c r="Z42"/>
      <c r="AA42"/>
      <c r="AB42" s="218"/>
    </row>
    <row r="43" spans="2:31" ht="15.65" customHeight="1" x14ac:dyDescent="0.25">
      <c r="B43" s="46"/>
      <c r="C43" s="1713" t="s">
        <v>1305</v>
      </c>
      <c r="D43" s="47"/>
      <c r="E43" s="740"/>
      <c r="F43" s="919" t="s">
        <v>86</v>
      </c>
      <c r="G43" s="47"/>
      <c r="H43" s="47"/>
      <c r="I43" s="47"/>
      <c r="J43" s="47"/>
      <c r="K43" s="49"/>
      <c r="S43" s="217"/>
      <c r="T43" s="91"/>
      <c r="U43" s="91"/>
      <c r="V43" s="91"/>
      <c r="W43" s="104"/>
      <c r="X43" s="91"/>
      <c r="Y43" s="91"/>
      <c r="Z43" s="91"/>
      <c r="AA43" s="91"/>
      <c r="AB43" s="218"/>
      <c r="AC43" s="91"/>
      <c r="AD43" s="91"/>
      <c r="AE43" s="91"/>
    </row>
    <row r="44" spans="2:31" ht="15.65" customHeight="1" x14ac:dyDescent="0.25">
      <c r="B44" s="60"/>
      <c r="C44" s="54"/>
      <c r="D44" s="54"/>
      <c r="E44" s="54"/>
      <c r="F44" s="54"/>
      <c r="G44" s="54"/>
      <c r="H44" s="54"/>
      <c r="I44" s="54"/>
      <c r="J44" s="54"/>
      <c r="K44" s="55"/>
      <c r="S44" s="263"/>
      <c r="T44"/>
      <c r="U44"/>
      <c r="V44"/>
      <c r="W44"/>
      <c r="X44"/>
      <c r="Y44"/>
      <c r="Z44"/>
      <c r="AA44" s="91"/>
      <c r="AB44" s="218"/>
    </row>
    <row r="45" spans="2:31" ht="15.65" customHeight="1" x14ac:dyDescent="0.25">
      <c r="S45" s="263"/>
      <c r="T45"/>
      <c r="U45"/>
      <c r="V45"/>
      <c r="W45"/>
      <c r="X45"/>
      <c r="Y45"/>
      <c r="Z45"/>
      <c r="AA45" s="91"/>
      <c r="AB45" s="218"/>
    </row>
    <row r="46" spans="2:31" ht="15.65" customHeight="1" x14ac:dyDescent="0.25">
      <c r="B46" s="121"/>
      <c r="C46" s="122"/>
      <c r="D46" s="122"/>
      <c r="E46" s="122"/>
      <c r="F46" s="122"/>
      <c r="G46" s="122"/>
      <c r="H46" s="122"/>
      <c r="I46" s="122"/>
      <c r="J46" s="122"/>
      <c r="K46" s="123"/>
      <c r="S46" s="217"/>
      <c r="T46" s="91"/>
      <c r="U46" s="91"/>
      <c r="V46" s="91"/>
      <c r="W46" s="91"/>
      <c r="X46" s="91"/>
      <c r="Y46" s="91"/>
      <c r="Z46" s="91"/>
      <c r="AA46" s="91"/>
      <c r="AB46" s="218"/>
    </row>
    <row r="47" spans="2:31" ht="15.65" customHeight="1" x14ac:dyDescent="0.25">
      <c r="B47" s="124"/>
      <c r="C47" s="145" t="s">
        <v>121</v>
      </c>
      <c r="D47" s="144"/>
      <c r="E47" s="144"/>
      <c r="F47" s="144"/>
      <c r="G47" s="144"/>
      <c r="H47" s="144"/>
      <c r="I47" s="144"/>
      <c r="J47" s="144"/>
      <c r="K47" s="127"/>
      <c r="S47" s="217"/>
      <c r="T47" s="91"/>
      <c r="U47" s="91"/>
      <c r="V47" s="91"/>
      <c r="W47" s="91"/>
      <c r="X47" s="91"/>
      <c r="Y47" s="91"/>
      <c r="Z47" s="91"/>
      <c r="AA47" s="91"/>
      <c r="AB47" s="218"/>
    </row>
    <row r="48" spans="2:31" ht="15.65" customHeight="1" x14ac:dyDescent="0.25">
      <c r="B48" s="171"/>
      <c r="C48" s="153"/>
      <c r="D48" s="153"/>
      <c r="E48" s="1689"/>
      <c r="F48" s="130"/>
      <c r="G48" s="172"/>
      <c r="H48" s="172"/>
      <c r="I48" s="130" t="s">
        <v>82</v>
      </c>
      <c r="J48" s="172"/>
      <c r="K48" s="173"/>
      <c r="S48" s="288" t="s">
        <v>106</v>
      </c>
      <c r="T48" s="289" t="s">
        <v>107</v>
      </c>
      <c r="U48" s="290" t="s">
        <v>108</v>
      </c>
      <c r="V48" s="283" t="s">
        <v>109</v>
      </c>
      <c r="W48" s="283" t="s">
        <v>122</v>
      </c>
      <c r="X48" s="283" t="s">
        <v>123</v>
      </c>
      <c r="Y48" s="283" t="s">
        <v>124</v>
      </c>
      <c r="Z48" s="283" t="s">
        <v>125</v>
      </c>
      <c r="AA48" s="283" t="s">
        <v>126</v>
      </c>
      <c r="AB48" s="291" t="s">
        <v>110</v>
      </c>
    </row>
    <row r="49" spans="2:36" ht="15.65" customHeight="1" x14ac:dyDescent="0.25">
      <c r="B49" s="158"/>
      <c r="C49" s="154"/>
      <c r="D49" s="154"/>
      <c r="E49" s="159"/>
      <c r="F49" s="159"/>
      <c r="G49" s="161"/>
      <c r="H49" s="161"/>
      <c r="I49" s="159"/>
      <c r="J49" s="161"/>
      <c r="K49" s="162"/>
      <c r="S49" s="288"/>
      <c r="T49" s="289"/>
      <c r="U49" s="290"/>
      <c r="V49" s="283"/>
      <c r="W49" s="283"/>
      <c r="X49" s="283"/>
      <c r="Y49" s="283"/>
      <c r="Z49" s="283"/>
      <c r="AA49" s="283"/>
      <c r="AB49" s="291"/>
    </row>
    <row r="50" spans="2:36" ht="15.65" customHeight="1" x14ac:dyDescent="0.25">
      <c r="B50" s="46"/>
      <c r="C50" s="817" t="s">
        <v>112</v>
      </c>
      <c r="D50" s="160"/>
      <c r="E50" s="938"/>
      <c r="F50" s="47"/>
      <c r="G50" s="47"/>
      <c r="H50" s="103" t="s">
        <v>127</v>
      </c>
      <c r="I50" s="111">
        <f>IF(AND(E50="",E51="",E52=""),0,IFERROR(T51*U51*V51*AA51,'Hidden Lists and Summaries'!$C$158))</f>
        <v>0</v>
      </c>
      <c r="J50" s="105" t="s">
        <v>90</v>
      </c>
      <c r="K50" s="49"/>
      <c r="S50" s="286" t="s">
        <v>113</v>
      </c>
      <c r="T50" s="290" t="s">
        <v>114</v>
      </c>
      <c r="U50" s="286" t="s">
        <v>113</v>
      </c>
      <c r="V50" s="283" t="s">
        <v>115</v>
      </c>
      <c r="W50" s="283" t="s">
        <v>128</v>
      </c>
      <c r="X50" s="283" t="s">
        <v>129</v>
      </c>
      <c r="Y50" s="283" t="s">
        <v>130</v>
      </c>
      <c r="Z50" s="283"/>
      <c r="AA50" s="283"/>
      <c r="AB50" s="291" t="s">
        <v>116</v>
      </c>
    </row>
    <row r="51" spans="2:36" ht="15.65" customHeight="1" x14ac:dyDescent="0.25">
      <c r="B51" s="46"/>
      <c r="C51" s="817" t="s">
        <v>117</v>
      </c>
      <c r="D51" s="160"/>
      <c r="E51" s="939"/>
      <c r="F51" s="47"/>
      <c r="G51" s="47"/>
      <c r="H51" s="106" t="s">
        <v>1311</v>
      </c>
      <c r="I51" s="107">
        <f>IF(AND(E50="",E51="",E52=""),0,IFERROR($AA51*$AB51,'Hidden Lists and Summaries'!$C$158))</f>
        <v>0</v>
      </c>
      <c r="J51" s="108" t="s">
        <v>90</v>
      </c>
      <c r="K51" s="49"/>
      <c r="S51" s="302" t="str">
        <f>IF(E53&lt;&gt;"",E53,
IF(E50="Solid Fuel",VLOOKUP(E51,'Key Values'!$B$40:$G$58,6,FALSE),
IF(E50="Gaseous Fuel", VLOOKUP(E51,'Key Values'!$B$71:$G$88,6,FALSE),
IF(E50="Liquid Fuel", VLOOKUP(E51,'Key Values'!$B$100:$H$120,7,FALSE),
'Hidden Lists and Summaries'!$C$157))))</f>
        <v>No default, please enter a bespoke value</v>
      </c>
      <c r="T51" s="104" t="e">
        <f>IF(E54&lt;&gt;"",E54,IF(E50="Solid Fuel",VLOOKUP(E51,'Key Values'!$B$40:$G$58,2,FALSE),
IF(E50="Gaseous Fuel",VLOOKUP(E51,'Key Values'!$B$71:$G$88,2,FALSE),
VLOOKUP(E51,'Key Values'!$B$100:$H$120,2,FALSE))))</f>
        <v>#N/A</v>
      </c>
      <c r="U51" s="303" t="e" cm="1">
        <f t="array" ref="U51">_xlfn.IFS(E55&lt;&gt;"",E55,E50="Solid Fuel", VLOOKUP(E51,'Key Values'!$B$61:$C$68,2,FALSE),E50=
"Liquid fuel",VLOOKUP(E51,'Key Values'!$B$123:$C$143,2,FALSE),E50=
"Gaseous Fuel", IF(VLOOKUP(E51,GasFuel[#All],7,FALSE)=TRUE,IF(E51='Key Values'!$B$77,'Hidden Lists and Summaries'!$C$157,VLOOKUP(iq_location,GaseousFuelEmbodiedEmissions[#All],IF(iq_metro="Yes",2,3),FALSE)),'Hidden Lists and Summaries'!$C$157))</f>
        <v>#N/A</v>
      </c>
      <c r="V51" s="303" t="e" cm="1">
        <f t="array" ref="V51">_xlfn.IFS('Key Values'!$B$35=E50, VLOOKUP(F52,massConv[#All], 2, FALSE),
'Key Values'!$B$36=E50, IF(VLOOKUP(E51,'Key Values'!$B$101:$H$121,3,FALSE)="GJ/t", VLOOKUP(F52,massConv[#All], 2, FALSE), VLOOKUP(F52,volConv[#All], 2, FALSE)),
'Key Values'!$B$37=E50, VLOOKUP(F52,volConv[#All], 2, FALSE)) * E52</f>
        <v>#N/A</v>
      </c>
      <c r="W51" s="523" t="e">
        <f>VLOOKUP(F$56,massConv[],3,FALSE)*E$56</f>
        <v>#N/A</v>
      </c>
      <c r="X51" s="104" t="e">
        <f>VLOOKUP(E$57,SteamProperties[#All],4,FALSE)</f>
        <v>#N/A</v>
      </c>
      <c r="Y51" s="104">
        <f>VLOOKUP(F$58,EnergyConversionTable[],5,FALSE)*E$58</f>
        <v>0</v>
      </c>
      <c r="Z51" s="104" t="e">
        <f>Y51/($W51*$X51+Y51)</f>
        <v>#N/A</v>
      </c>
      <c r="AA51" s="104" t="e">
        <f>1-Z51</f>
        <v>#N/A</v>
      </c>
      <c r="AB51" s="524" t="e">
        <f>S51*T51*V51</f>
        <v>#VALUE!</v>
      </c>
    </row>
    <row r="52" spans="2:36" ht="15.65" customHeight="1" x14ac:dyDescent="0.25">
      <c r="B52" s="46"/>
      <c r="C52" s="817" t="s">
        <v>119</v>
      </c>
      <c r="D52" s="160"/>
      <c r="E52" s="527"/>
      <c r="F52" s="741"/>
      <c r="G52" s="47"/>
      <c r="H52" s="106" t="s">
        <v>131</v>
      </c>
      <c r="I52" s="107">
        <f>IF(AND(E50="",E51="",E52=""),0,IFERROR(T51*U51*V51*Z51,'Hidden Lists and Summaries'!$C$158))</f>
        <v>0</v>
      </c>
      <c r="J52" s="108" t="s">
        <v>90</v>
      </c>
      <c r="K52" s="49"/>
      <c r="S52" s="293"/>
      <c r="T52" s="91"/>
      <c r="U52" s="94"/>
      <c r="V52" s="94"/>
      <c r="W52" s="101"/>
      <c r="X52" s="91"/>
      <c r="Y52" s="91"/>
      <c r="Z52" s="91"/>
      <c r="AA52" s="91"/>
      <c r="AB52" s="525"/>
    </row>
    <row r="53" spans="2:36" ht="15.65" customHeight="1" x14ac:dyDescent="0.25">
      <c r="B53" s="46"/>
      <c r="C53" s="817" t="s">
        <v>1308</v>
      </c>
      <c r="D53" s="160"/>
      <c r="E53" s="940"/>
      <c r="F53" s="47"/>
      <c r="G53" s="47"/>
      <c r="H53" s="106" t="s">
        <v>1312</v>
      </c>
      <c r="I53" s="107">
        <f>IF(AND(E50="",E51="",E52=""),0,IFERROR($Z51*$AB51,'Hidden Lists and Summaries'!$C$158))</f>
        <v>0</v>
      </c>
      <c r="J53" s="108" t="s">
        <v>90</v>
      </c>
      <c r="K53" s="49"/>
      <c r="S53" s="293"/>
      <c r="T53" s="91"/>
      <c r="U53" s="94"/>
      <c r="V53" s="94"/>
      <c r="W53" s="101"/>
      <c r="X53" s="91"/>
      <c r="Y53" s="91"/>
      <c r="Z53" s="91"/>
      <c r="AA53" s="91"/>
      <c r="AB53" s="525"/>
    </row>
    <row r="54" spans="2:36" ht="15.65" customHeight="1" x14ac:dyDescent="0.25">
      <c r="B54" s="46"/>
      <c r="C54" s="817" t="s">
        <v>132</v>
      </c>
      <c r="D54" s="160"/>
      <c r="E54" s="941"/>
      <c r="F54" s="47"/>
      <c r="G54" s="47"/>
      <c r="H54" s="109" t="s">
        <v>120</v>
      </c>
      <c r="I54" s="546">
        <f>SUM(I50:I53)</f>
        <v>0</v>
      </c>
      <c r="J54" s="110" t="s">
        <v>90</v>
      </c>
      <c r="K54" s="49"/>
      <c r="S54" s="293"/>
      <c r="T54" s="91"/>
      <c r="U54" s="94"/>
      <c r="V54" s="94"/>
      <c r="W54" s="101"/>
      <c r="X54" s="91"/>
      <c r="Y54" s="91"/>
      <c r="Z54" s="91"/>
      <c r="AA54" s="91"/>
      <c r="AB54" s="525"/>
    </row>
    <row r="55" spans="2:36" ht="15.75" customHeight="1" x14ac:dyDescent="0.25">
      <c r="B55" s="46"/>
      <c r="C55" s="819" t="s">
        <v>1309</v>
      </c>
      <c r="D55" s="160"/>
      <c r="E55" s="944"/>
      <c r="F55" s="47"/>
      <c r="G55" s="47"/>
      <c r="H55" s="47"/>
      <c r="I55" s="47"/>
      <c r="J55" s="47"/>
      <c r="K55" s="49"/>
      <c r="S55" s="306"/>
      <c r="T55" s="185"/>
      <c r="U55" s="307"/>
      <c r="V55" s="307"/>
      <c r="W55" s="526"/>
      <c r="X55" s="185"/>
      <c r="Y55" s="185"/>
      <c r="Z55" s="185"/>
      <c r="AA55" s="185"/>
      <c r="AB55" s="225"/>
    </row>
    <row r="56" spans="2:36" ht="15.65" customHeight="1" x14ac:dyDescent="0.25">
      <c r="B56" s="46"/>
      <c r="C56" s="817" t="s">
        <v>133</v>
      </c>
      <c r="D56" s="160"/>
      <c r="E56" s="1061"/>
      <c r="F56" s="1063"/>
      <c r="G56" s="47"/>
      <c r="H56" s="47"/>
      <c r="I56" s="47"/>
      <c r="J56" s="47"/>
      <c r="K56" s="49"/>
      <c r="S56" s="217"/>
      <c r="T56" s="91"/>
      <c r="U56" s="91"/>
      <c r="V56" s="91"/>
      <c r="W56" s="91"/>
      <c r="X56" s="91"/>
      <c r="Y56" s="91"/>
      <c r="Z56" s="91"/>
      <c r="AA56" s="91"/>
      <c r="AB56" s="218"/>
    </row>
    <row r="57" spans="2:36" ht="15.65" customHeight="1" x14ac:dyDescent="0.25">
      <c r="B57" s="57"/>
      <c r="C57" s="817" t="s">
        <v>134</v>
      </c>
      <c r="D57" s="63"/>
      <c r="E57" s="1062"/>
      <c r="F57" s="47"/>
      <c r="G57" s="47"/>
      <c r="H57" s="47"/>
      <c r="I57" s="47"/>
      <c r="J57" s="47"/>
      <c r="K57" s="49"/>
      <c r="S57" s="217"/>
      <c r="T57" s="91"/>
      <c r="U57" s="91"/>
      <c r="V57" s="91"/>
      <c r="W57" s="91"/>
      <c r="X57" s="91"/>
      <c r="Y57" s="91"/>
      <c r="Z57" s="91"/>
      <c r="AA57" s="91"/>
      <c r="AB57" s="218"/>
    </row>
    <row r="58" spans="2:36" ht="15.65" customHeight="1" x14ac:dyDescent="0.25">
      <c r="B58" s="57"/>
      <c r="C58" s="817" t="s">
        <v>135</v>
      </c>
      <c r="D58" s="63"/>
      <c r="E58" s="740"/>
      <c r="F58" s="917" t="s">
        <v>86</v>
      </c>
      <c r="G58" s="47"/>
      <c r="H58" s="47"/>
      <c r="I58" s="47"/>
      <c r="J58" s="47"/>
      <c r="K58" s="49"/>
      <c r="R58" s="94"/>
      <c r="S58" s="217"/>
      <c r="T58" s="91"/>
      <c r="U58" s="91"/>
      <c r="V58" s="91"/>
      <c r="W58" s="91"/>
      <c r="X58" s="91"/>
      <c r="Y58" s="94"/>
      <c r="Z58" s="94"/>
      <c r="AA58" s="94"/>
      <c r="AB58" s="305"/>
      <c r="AC58" s="94"/>
      <c r="AD58" s="94"/>
      <c r="AE58" s="94"/>
      <c r="AF58" s="94"/>
      <c r="AG58" s="94"/>
      <c r="AH58" s="94"/>
      <c r="AI58" s="94"/>
      <c r="AJ58" s="94"/>
    </row>
    <row r="59" spans="2:36" ht="15.65" customHeight="1" x14ac:dyDescent="0.25">
      <c r="B59" s="60"/>
      <c r="C59" s="54"/>
      <c r="D59" s="54"/>
      <c r="E59" s="54"/>
      <c r="F59" s="54"/>
      <c r="G59" s="54"/>
      <c r="H59" s="54"/>
      <c r="I59" s="54"/>
      <c r="J59" s="54"/>
      <c r="K59" s="55"/>
      <c r="R59" s="94"/>
      <c r="S59" s="263"/>
      <c r="T59"/>
      <c r="U59"/>
      <c r="V59" s="91"/>
      <c r="W59" s="91"/>
      <c r="X59" s="91"/>
      <c r="Y59" s="273"/>
      <c r="Z59" s="273"/>
      <c r="AA59" s="273"/>
      <c r="AB59" s="788"/>
      <c r="AC59" s="273"/>
      <c r="AD59" s="273"/>
      <c r="AE59" s="94"/>
      <c r="AF59" s="94"/>
      <c r="AG59" s="94"/>
      <c r="AH59" s="94"/>
      <c r="AI59" s="94"/>
      <c r="AJ59" s="94"/>
    </row>
    <row r="60" spans="2:36" ht="15.65" customHeight="1" x14ac:dyDescent="0.25">
      <c r="R60" s="94"/>
      <c r="S60" s="217"/>
      <c r="T60" s="91"/>
      <c r="U60" s="91"/>
      <c r="V60" s="91"/>
      <c r="W60" s="91"/>
      <c r="X60" s="91"/>
      <c r="Y60" s="94"/>
      <c r="Z60" s="94"/>
      <c r="AA60" s="94"/>
      <c r="AB60" s="305"/>
      <c r="AC60" s="94"/>
      <c r="AD60" s="94"/>
      <c r="AE60" s="94"/>
      <c r="AF60" s="94"/>
      <c r="AG60" s="94"/>
      <c r="AH60" s="94"/>
      <c r="AI60" s="94"/>
      <c r="AJ60" s="94"/>
    </row>
    <row r="61" spans="2:36" ht="15.65" customHeight="1" x14ac:dyDescent="0.25">
      <c r="B61" s="121"/>
      <c r="C61" s="122"/>
      <c r="D61" s="122"/>
      <c r="E61" s="122"/>
      <c r="F61" s="122"/>
      <c r="G61" s="122"/>
      <c r="H61" s="122"/>
      <c r="I61" s="122"/>
      <c r="J61" s="122"/>
      <c r="K61" s="123"/>
      <c r="R61" s="94"/>
      <c r="S61" s="309" t="s">
        <v>136</v>
      </c>
      <c r="T61" s="319">
        <f>I53</f>
        <v>0</v>
      </c>
      <c r="U61" s="528" t="s">
        <v>137</v>
      </c>
      <c r="V61" s="319">
        <f>SUM(Y51:Y55)*VLOOKUP("kJ",EnergyConversionTable[],3,FALSE)</f>
        <v>0</v>
      </c>
      <c r="W61" s="528" t="s">
        <v>138</v>
      </c>
      <c r="X61" s="533" t="e">
        <f>W51</f>
        <v>#N/A</v>
      </c>
      <c r="Y61"/>
      <c r="Z61"/>
      <c r="AA61" s="94"/>
      <c r="AB61" s="305"/>
      <c r="AC61" s="94"/>
      <c r="AD61" s="94"/>
      <c r="AE61" s="94"/>
      <c r="AF61" s="94"/>
      <c r="AG61" s="94"/>
      <c r="AH61" s="94"/>
      <c r="AI61" s="94"/>
      <c r="AJ61" s="94"/>
    </row>
    <row r="62" spans="2:36" ht="15.65" customHeight="1" x14ac:dyDescent="0.25">
      <c r="B62" s="124"/>
      <c r="C62" s="145" t="s">
        <v>139</v>
      </c>
      <c r="D62" s="144"/>
      <c r="E62" s="144"/>
      <c r="F62" s="144"/>
      <c r="G62" s="144"/>
      <c r="H62" s="144"/>
      <c r="I62" s="144"/>
      <c r="J62" s="144"/>
      <c r="K62" s="127"/>
      <c r="R62" s="94"/>
      <c r="S62" s="309" t="s">
        <v>140</v>
      </c>
      <c r="T62" s="320">
        <f>I51</f>
        <v>0</v>
      </c>
      <c r="U62" s="528" t="s">
        <v>141</v>
      </c>
      <c r="V62" s="320">
        <f>X38</f>
        <v>0</v>
      </c>
      <c r="W62" s="91"/>
      <c r="X62" s="91"/>
      <c r="Y62"/>
      <c r="Z62"/>
      <c r="AA62" s="273"/>
      <c r="AB62" s="788"/>
      <c r="AC62" s="273"/>
      <c r="AD62" s="273"/>
      <c r="AE62" s="94"/>
      <c r="AF62" s="94"/>
      <c r="AG62" s="94"/>
      <c r="AH62" s="94"/>
      <c r="AI62" s="94"/>
      <c r="AJ62" s="94"/>
    </row>
    <row r="63" spans="2:36" ht="15.65" customHeight="1" x14ac:dyDescent="0.25">
      <c r="B63" s="124"/>
      <c r="C63" s="144"/>
      <c r="D63" s="144"/>
      <c r="E63" s="146" t="s">
        <v>142</v>
      </c>
      <c r="F63" s="146" t="s">
        <v>143</v>
      </c>
      <c r="G63" s="146" t="s">
        <v>144</v>
      </c>
      <c r="H63" s="1679" t="s">
        <v>145</v>
      </c>
      <c r="I63" s="146"/>
      <c r="J63" s="824"/>
      <c r="K63" s="128"/>
      <c r="R63" s="94"/>
      <c r="S63" s="309" t="s">
        <v>146</v>
      </c>
      <c r="T63" s="320">
        <f>I13</f>
        <v>0</v>
      </c>
      <c r="U63" s="528" t="s">
        <v>147</v>
      </c>
      <c r="V63" s="323">
        <f>SUM(V61:V62)</f>
        <v>0</v>
      </c>
      <c r="W63" s="94"/>
      <c r="X63" s="94"/>
      <c r="Y63"/>
      <c r="Z63"/>
      <c r="AA63" s="94"/>
      <c r="AB63" s="305"/>
      <c r="AC63" s="94"/>
      <c r="AD63" s="94"/>
      <c r="AE63" s="94"/>
      <c r="AF63" s="94"/>
      <c r="AG63" s="94"/>
      <c r="AH63" s="94"/>
      <c r="AI63" s="94"/>
      <c r="AJ63" s="94"/>
    </row>
    <row r="64" spans="2:36" ht="15.65" customHeight="1" x14ac:dyDescent="0.25">
      <c r="B64" s="825"/>
      <c r="C64" s="826"/>
      <c r="D64" s="826"/>
      <c r="E64" s="826"/>
      <c r="F64" s="826"/>
      <c r="G64" s="826"/>
      <c r="H64" s="826"/>
      <c r="I64" s="826"/>
      <c r="J64" s="826"/>
      <c r="K64" s="827"/>
      <c r="R64" s="94"/>
      <c r="S64" s="309" t="s">
        <v>148</v>
      </c>
      <c r="T64" s="320">
        <f>I38</f>
        <v>0</v>
      </c>
      <c r="U64"/>
      <c r="V64"/>
      <c r="W64" s="82"/>
      <c r="X64" s="273"/>
      <c r="Y64"/>
      <c r="Z64"/>
      <c r="AA64" s="94"/>
      <c r="AB64" s="305"/>
      <c r="AC64" s="94"/>
      <c r="AD64" s="94"/>
      <c r="AE64" s="94"/>
      <c r="AF64" s="94"/>
      <c r="AG64" s="94"/>
      <c r="AH64" s="94"/>
      <c r="AI64" s="94"/>
      <c r="AJ64" s="94"/>
    </row>
    <row r="65" spans="1:36" ht="15.65" customHeight="1" x14ac:dyDescent="0.25">
      <c r="B65" s="828"/>
      <c r="C65" s="816" t="str">
        <f>IF(iq_selectedPathway=0, "N/A", iq_selectedPathway)</f>
        <v>N/A</v>
      </c>
      <c r="D65" s="52"/>
      <c r="E65" s="1544">
        <f>IFERROR(VLOOKUP(C65,ElectricityPortionsByPathwayTable[#All],2,FALSE),0)</f>
        <v>0</v>
      </c>
      <c r="F65" s="1545">
        <f>IFERROR(VLOOKUP(C65,ElectricityPortionsByPathwayTable[#All],3,FALSE),0)</f>
        <v>0</v>
      </c>
      <c r="G65" s="1546">
        <f>IFERROR(VLOOKUP(C65,ElectricityPortionsByPathwayTable[#All],4,FALSE),0)</f>
        <v>0</v>
      </c>
      <c r="H65" s="1547">
        <f>IFERROR(VLOOKUP(C65,ElectricityPortionsByPathwayTable[#All],5,FALSE),0)</f>
        <v>0</v>
      </c>
      <c r="I65" s="52"/>
      <c r="J65" s="52"/>
      <c r="K65" s="237"/>
      <c r="R65" s="94"/>
      <c r="S65" s="309" t="s">
        <v>149</v>
      </c>
      <c r="T65" s="529">
        <f>I52</f>
        <v>0</v>
      </c>
      <c r="U65" s="343" t="s">
        <v>150</v>
      </c>
      <c r="V65" s="304">
        <f>VLOOKUP(F30,EnergyConversionTable[#All], 3, FALSE)*E30</f>
        <v>0</v>
      </c>
      <c r="W65" s="94"/>
      <c r="X65" s="94"/>
      <c r="Y65" s="94"/>
      <c r="Z65" s="94"/>
      <c r="AA65" s="94"/>
      <c r="AB65" s="305"/>
      <c r="AC65" s="94"/>
      <c r="AD65" s="94"/>
      <c r="AE65" s="94"/>
      <c r="AF65" s="94"/>
      <c r="AG65" s="94"/>
      <c r="AH65" s="94"/>
      <c r="AI65" s="94"/>
    </row>
    <row r="66" spans="1:36" ht="15.65" hidden="1" customHeight="1" x14ac:dyDescent="0.25">
      <c r="B66" s="828"/>
      <c r="C66" s="816" t="str">
        <f>IF(iq_conditioningProcess=0,"N/A", iq_conditioningProcess)</f>
        <v>N/A</v>
      </c>
      <c r="D66" s="52"/>
      <c r="E66" s="1548">
        <f>IFERROR(VLOOKUP(C66,ElectricityPortionsByPathwayTable[#All],2,FALSE),0)</f>
        <v>0</v>
      </c>
      <c r="F66" s="1549">
        <f>IFERROR(VLOOKUP(C66,ElectricityPortionsByPathwayTable[#All],3,FALSE),0)</f>
        <v>0</v>
      </c>
      <c r="G66" s="1550">
        <f>IFERROR(VLOOKUP(C66,ElectricityPortionsByPathwayTable[#All],4,FALSE),0)</f>
        <v>0</v>
      </c>
      <c r="H66" s="1551">
        <f>IFERROR(VLOOKUP(C66,ElectricityPortionsByPathwayTable[#All],5,FALSE),0)</f>
        <v>0</v>
      </c>
      <c r="I66" s="52"/>
      <c r="J66" s="52"/>
      <c r="K66" s="237"/>
      <c r="R66" s="94"/>
      <c r="S66" s="309" t="s">
        <v>151</v>
      </c>
      <c r="T66" s="529">
        <f>I50</f>
        <v>0</v>
      </c>
      <c r="U66" s="309" t="s">
        <v>152</v>
      </c>
      <c r="V66" s="308">
        <f>V65+overall_totalOnsiteCombustionElecGen</f>
        <v>0</v>
      </c>
      <c r="W66" s="94"/>
      <c r="X66" s="94"/>
      <c r="Y66" s="94"/>
      <c r="Z66" s="94"/>
      <c r="AA66" s="94"/>
      <c r="AB66" s="305"/>
      <c r="AC66" s="94"/>
      <c r="AD66" s="94"/>
      <c r="AE66" s="94"/>
      <c r="AF66" s="94"/>
      <c r="AG66" s="94"/>
      <c r="AH66" s="94"/>
      <c r="AI66" s="94"/>
      <c r="AJ66" s="94"/>
    </row>
    <row r="67" spans="1:36" ht="15.65" hidden="1" customHeight="1" x14ac:dyDescent="0.25">
      <c r="B67" s="828"/>
      <c r="C67" s="816" t="str">
        <f>IF(iq_downstreamProcess=0,"N/A",iq_downstreamProcess)</f>
        <v>N/A</v>
      </c>
      <c r="D67" s="52"/>
      <c r="E67" s="1548">
        <f>IFERROR(VLOOKUP(C67,ElectricityPortionsByPathwayTable[#All],2,FALSE),0)</f>
        <v>0</v>
      </c>
      <c r="F67" s="1549">
        <f>IFERROR(VLOOKUP(C67,ElectricityPortionsByPathwayTable[#All],3,FALSE),0)</f>
        <v>0</v>
      </c>
      <c r="G67" s="1550">
        <f>IFERROR(VLOOKUP(C67,ElectricityPortionsByPathwayTable[#All],4,FALSE),0)</f>
        <v>0</v>
      </c>
      <c r="H67" s="1551">
        <f>IFERROR(VLOOKUP(C67,ElectricityPortionsByPathwayTable[#All],5,FALSE),0)</f>
        <v>0</v>
      </c>
      <c r="I67" s="52"/>
      <c r="J67" s="52"/>
      <c r="K67" s="237"/>
      <c r="R67" s="94"/>
      <c r="S67" s="309" t="s">
        <v>153</v>
      </c>
      <c r="T67" s="529">
        <f>I37</f>
        <v>0</v>
      </c>
      <c r="U67" s="94"/>
      <c r="V67" s="94"/>
      <c r="W67" s="94"/>
      <c r="X67" s="94"/>
      <c r="Y67" s="94"/>
      <c r="Z67" s="94"/>
      <c r="AA67" s="94"/>
      <c r="AB67" s="305"/>
      <c r="AC67" s="94"/>
      <c r="AD67" s="94"/>
      <c r="AE67" s="94"/>
      <c r="AF67" s="94"/>
      <c r="AG67" s="94"/>
      <c r="AH67" s="94"/>
      <c r="AI67" s="94"/>
      <c r="AJ67" s="94"/>
    </row>
    <row r="68" spans="1:36" ht="15.65" customHeight="1" x14ac:dyDescent="0.25">
      <c r="B68" s="828"/>
      <c r="C68" s="816" t="s">
        <v>154</v>
      </c>
      <c r="D68" s="52"/>
      <c r="E68" s="1548">
        <f>IFERROR(VLOOKUP(C68,ElectricityPortionsByPathwayTable[#All],2,FALSE),0)</f>
        <v>0</v>
      </c>
      <c r="F68" s="1549">
        <f>IFERROR(VLOOKUP(C68,ElectricityPortionsByPathwayTable[#All],3,FALSE),0)</f>
        <v>0</v>
      </c>
      <c r="G68" s="1550">
        <f>IFERROR(VLOOKUP(C68,ElectricityPortionsByPathwayTable[#All],4,FALSE),0)</f>
        <v>0</v>
      </c>
      <c r="H68" s="1551"/>
      <c r="I68" s="52"/>
      <c r="J68" s="52"/>
      <c r="K68" s="237"/>
      <c r="R68" s="94"/>
      <c r="S68" s="309" t="s">
        <v>155</v>
      </c>
      <c r="T68" s="529" t="str">
        <f>H13</f>
        <v>Error -  Review inputs</v>
      </c>
      <c r="U68" s="94"/>
      <c r="V68" s="94"/>
      <c r="W68" s="94"/>
      <c r="X68" s="94"/>
      <c r="Y68" s="94"/>
      <c r="Z68" s="94"/>
      <c r="AA68" s="94"/>
      <c r="AB68" s="305"/>
      <c r="AC68" s="94"/>
      <c r="AD68" s="94"/>
      <c r="AE68" s="94"/>
      <c r="AF68" s="94"/>
      <c r="AG68" s="94"/>
      <c r="AH68" s="94"/>
      <c r="AI68" s="94"/>
      <c r="AJ68" s="94"/>
    </row>
    <row r="69" spans="1:36" ht="15.65" hidden="1" customHeight="1" x14ac:dyDescent="0.25">
      <c r="B69" s="828"/>
      <c r="C69" s="816" t="s">
        <v>156</v>
      </c>
      <c r="D69" s="52"/>
      <c r="E69" s="1548">
        <f>IFERROR(VLOOKUP(C69,ElectricityPortionsByPathwayTable[#All],2,FALSE),0)</f>
        <v>0</v>
      </c>
      <c r="F69" s="1549">
        <f>IFERROR(VLOOKUP(C69,ElectricityPortionsByPathwayTable[#All],3,FALSE),0)</f>
        <v>0</v>
      </c>
      <c r="G69" s="1550">
        <f>IFERROR(VLOOKUP(C69,ElectricityPortionsByPathwayTable[#All],4,FALSE),0)</f>
        <v>0</v>
      </c>
      <c r="H69" s="1551">
        <f>IFERROR(VLOOKUP(C69,ElectricityPortionsByPathwayTable[#All],5,FALSE),0)</f>
        <v>0</v>
      </c>
      <c r="I69" s="52"/>
      <c r="J69" s="52"/>
      <c r="K69" s="237"/>
      <c r="R69" s="94"/>
      <c r="S69" s="309" t="s">
        <v>157</v>
      </c>
      <c r="T69" s="833">
        <f>overall_CombustionEmissionsOther+overall_CHP_EmissionsElectricity</f>
        <v>0</v>
      </c>
      <c r="U69" s="834" t="s">
        <v>158</v>
      </c>
      <c r="V69" s="821">
        <f>overall_totalOnsiteElecGen+overall_totalImportedElectricity</f>
        <v>0</v>
      </c>
      <c r="W69" s="64"/>
      <c r="X69" s="94"/>
      <c r="Y69" s="94"/>
      <c r="Z69" s="94"/>
      <c r="AA69" s="94"/>
      <c r="AB69" s="305"/>
      <c r="AC69" s="94"/>
      <c r="AD69" s="94"/>
      <c r="AE69" s="94"/>
      <c r="AF69" s="94"/>
      <c r="AG69" s="94"/>
      <c r="AH69" s="94"/>
      <c r="AI69" s="94"/>
      <c r="AJ69" s="94"/>
    </row>
    <row r="70" spans="1:36" ht="15.65" hidden="1" customHeight="1" x14ac:dyDescent="0.25">
      <c r="B70" s="828"/>
      <c r="C70" s="816" t="s">
        <v>159</v>
      </c>
      <c r="D70" s="52"/>
      <c r="E70" s="1552">
        <f>IFERROR(VLOOKUP(C70,ElectricityPortionsByPathwayTable[#All],2,FALSE),0)</f>
        <v>0</v>
      </c>
      <c r="F70" s="1553">
        <f>IFERROR(VLOOKUP(C70,ElectricityPortionsByPathwayTable[#All],3,FALSE),0)</f>
        <v>0</v>
      </c>
      <c r="G70" s="1553">
        <f>IFERROR(VLOOKUP(C70,ElectricityPortionsByPathwayTable[#All],4,FALSE),0)</f>
        <v>0</v>
      </c>
      <c r="H70" s="1554">
        <f>IFERROR(VLOOKUP(C70,ElectricityPortionsByPathwayTable[#All],5,FALSE),0)</f>
        <v>0</v>
      </c>
      <c r="I70" s="52"/>
      <c r="J70" s="52"/>
      <c r="K70" s="237"/>
      <c r="R70" s="94"/>
      <c r="S70" s="309" t="s">
        <v>160</v>
      </c>
      <c r="T70" s="833">
        <f>overall_embodiedCHPElectricity+overall_embodiedOtherCombustionElectricityGen</f>
        <v>0</v>
      </c>
      <c r="U70" s="834" t="s">
        <v>161</v>
      </c>
      <c r="V70" s="1680" t="e">
        <f>(E30+E26)*VLOOKUP(F30,EnergyConversionTable[#All], 3, FALSE)/overall_totalElectricity</f>
        <v>#DIV/0!</v>
      </c>
      <c r="W70" s="64"/>
      <c r="X70" s="94"/>
      <c r="Y70" s="94"/>
      <c r="Z70" s="94"/>
      <c r="AA70" s="94"/>
      <c r="AB70" s="305"/>
      <c r="AC70" s="94"/>
      <c r="AD70" s="94"/>
      <c r="AE70" s="94"/>
      <c r="AF70" s="94"/>
      <c r="AG70" s="94"/>
      <c r="AH70" s="94"/>
      <c r="AI70" s="94"/>
      <c r="AJ70" s="94"/>
    </row>
    <row r="71" spans="1:36" ht="15.65" customHeight="1" x14ac:dyDescent="0.25">
      <c r="B71" s="828"/>
      <c r="C71" s="829" t="s">
        <v>162</v>
      </c>
      <c r="D71" s="52"/>
      <c r="E71" s="1555">
        <f>SUM(E65:E67)</f>
        <v>0</v>
      </c>
      <c r="F71" s="1556">
        <f>SUM(F65:F67)</f>
        <v>0</v>
      </c>
      <c r="G71" s="1556">
        <f>SUM(G65:G67)</f>
        <v>0</v>
      </c>
      <c r="H71" s="1557">
        <f>SUM(H65:H67)</f>
        <v>0</v>
      </c>
      <c r="I71" s="52"/>
      <c r="J71" s="52"/>
      <c r="K71" s="237"/>
      <c r="R71" s="94"/>
      <c r="S71" s="786"/>
      <c r="T71" s="93"/>
      <c r="U71" s="273"/>
      <c r="V71" s="273"/>
      <c r="W71" s="64"/>
      <c r="X71" s="94"/>
      <c r="Y71" s="94"/>
      <c r="Z71" s="94"/>
      <c r="AA71" s="94"/>
      <c r="AB71" s="305"/>
      <c r="AC71" s="94"/>
      <c r="AD71" s="94"/>
      <c r="AE71" s="94"/>
      <c r="AF71" s="94"/>
      <c r="AG71" s="94"/>
      <c r="AH71" s="94"/>
      <c r="AI71" s="94"/>
      <c r="AJ71" s="94"/>
    </row>
    <row r="72" spans="1:36" ht="15.65" customHeight="1" x14ac:dyDescent="0.25">
      <c r="B72" s="830"/>
      <c r="C72" s="831"/>
      <c r="D72" s="831"/>
      <c r="E72" s="831"/>
      <c r="F72" s="831"/>
      <c r="G72" s="831"/>
      <c r="H72" s="831"/>
      <c r="I72" s="831"/>
      <c r="J72" s="831"/>
      <c r="K72" s="832"/>
      <c r="R72" s="94"/>
      <c r="S72" s="263"/>
      <c r="T72" s="93"/>
      <c r="U72" s="273"/>
      <c r="V72" s="273"/>
      <c r="W72" s="64"/>
      <c r="X72" s="94"/>
      <c r="Y72" s="94"/>
      <c r="Z72" s="94"/>
      <c r="AA72" s="94"/>
      <c r="AB72" s="305"/>
      <c r="AC72" s="94"/>
      <c r="AD72" s="94"/>
      <c r="AE72" s="94"/>
      <c r="AF72" s="94"/>
      <c r="AG72" s="94"/>
      <c r="AH72" s="94"/>
      <c r="AI72" s="94"/>
      <c r="AJ72" s="94"/>
    </row>
    <row r="73" spans="1:36" ht="15.65" customHeight="1" x14ac:dyDescent="0.25">
      <c r="B73"/>
      <c r="F73"/>
      <c r="H73" s="70"/>
      <c r="I73" s="70"/>
      <c r="R73" s="94"/>
      <c r="S73" s="263"/>
      <c r="T73" s="93"/>
      <c r="U73" s="273"/>
      <c r="V73" s="273"/>
      <c r="W73" s="64"/>
      <c r="X73" s="94"/>
      <c r="Y73" s="94"/>
      <c r="Z73" s="94"/>
      <c r="AA73" s="94"/>
      <c r="AB73" s="305"/>
      <c r="AC73" s="94"/>
      <c r="AD73" s="94"/>
      <c r="AE73" s="94"/>
      <c r="AF73" s="94"/>
      <c r="AG73" s="94"/>
      <c r="AH73" s="94"/>
      <c r="AI73" s="94"/>
      <c r="AJ73" s="94"/>
    </row>
    <row r="74" spans="1:36" ht="15.65" hidden="1" customHeight="1" x14ac:dyDescent="0.25">
      <c r="B74"/>
      <c r="F74"/>
      <c r="H74" s="70"/>
      <c r="I74" s="70"/>
      <c r="R74" s="94"/>
      <c r="S74" s="263"/>
      <c r="T74" s="93"/>
      <c r="U74" s="273"/>
      <c r="V74" s="273"/>
      <c r="W74" s="64"/>
      <c r="X74" s="94"/>
      <c r="Y74" s="94"/>
      <c r="Z74" s="94"/>
      <c r="AA74" s="94"/>
      <c r="AB74" s="305"/>
      <c r="AC74" s="94"/>
      <c r="AD74" s="94"/>
      <c r="AE74" s="94"/>
      <c r="AF74" s="94"/>
      <c r="AG74" s="94"/>
      <c r="AH74" s="94"/>
      <c r="AI74" s="94"/>
      <c r="AJ74" s="94"/>
    </row>
    <row r="75" spans="1:36" ht="15.65" hidden="1" customHeight="1" x14ac:dyDescent="0.25">
      <c r="B75"/>
      <c r="F75"/>
      <c r="H75" s="70"/>
      <c r="I75" s="70"/>
      <c r="R75" s="94"/>
      <c r="S75" s="263"/>
      <c r="T75" s="93"/>
      <c r="U75" s="273"/>
      <c r="V75" s="273"/>
      <c r="W75" s="64"/>
      <c r="X75" s="94"/>
      <c r="Y75" s="94"/>
      <c r="Z75" s="94"/>
      <c r="AA75" s="94"/>
      <c r="AB75" s="305"/>
      <c r="AC75" s="94"/>
      <c r="AD75" s="94"/>
      <c r="AE75" s="94"/>
      <c r="AF75" s="94"/>
      <c r="AG75" s="94"/>
      <c r="AH75" s="94"/>
      <c r="AI75" s="94"/>
      <c r="AJ75" s="94"/>
    </row>
    <row r="76" spans="1:36" ht="15.65" hidden="1" customHeight="1" x14ac:dyDescent="0.25">
      <c r="B76"/>
      <c r="F76"/>
      <c r="H76" s="70"/>
      <c r="I76" s="70"/>
      <c r="R76" s="94"/>
      <c r="S76" s="263"/>
      <c r="T76" s="93"/>
      <c r="U76" s="273"/>
      <c r="V76" s="273"/>
      <c r="W76" s="64"/>
      <c r="X76" s="94"/>
      <c r="Y76" s="94"/>
      <c r="Z76" s="94"/>
      <c r="AA76" s="94"/>
      <c r="AB76" s="305"/>
      <c r="AC76" s="94"/>
      <c r="AD76" s="94"/>
      <c r="AE76" s="94"/>
      <c r="AF76" s="94"/>
      <c r="AG76" s="94"/>
      <c r="AH76" s="94"/>
      <c r="AI76" s="94"/>
      <c r="AJ76" s="94"/>
    </row>
    <row r="77" spans="1:36" hidden="1" x14ac:dyDescent="0.25">
      <c r="B77"/>
      <c r="C77"/>
      <c r="D77"/>
      <c r="E77"/>
      <c r="F77"/>
      <c r="G77"/>
      <c r="R77" s="94"/>
      <c r="S77" s="217"/>
      <c r="T77" s="93"/>
      <c r="U77" s="1877"/>
      <c r="V77" s="1877"/>
      <c r="W77" s="82"/>
      <c r="X77" s="273"/>
      <c r="Y77" s="273"/>
      <c r="Z77" s="273"/>
      <c r="AA77" s="273"/>
      <c r="AB77" s="788"/>
      <c r="AC77" s="273"/>
      <c r="AD77" s="273"/>
      <c r="AE77" s="94"/>
      <c r="AF77" s="94"/>
      <c r="AG77" s="94"/>
      <c r="AH77" s="94"/>
      <c r="AI77" s="94"/>
      <c r="AJ77" s="94"/>
    </row>
    <row r="78" spans="1:36" hidden="1" x14ac:dyDescent="0.25">
      <c r="A78"/>
      <c r="B78"/>
      <c r="C78" t="s">
        <v>163</v>
      </c>
      <c r="D78" t="s">
        <v>164</v>
      </c>
      <c r="E78" t="s">
        <v>165</v>
      </c>
      <c r="F78"/>
      <c r="G78"/>
      <c r="R78" s="94"/>
      <c r="S78" s="217"/>
      <c r="T78" s="91"/>
      <c r="U78" s="1877"/>
      <c r="V78" s="1877"/>
      <c r="W78" s="94"/>
      <c r="X78" s="273"/>
      <c r="Y78" s="273"/>
      <c r="Z78" s="273"/>
      <c r="AA78" s="273"/>
      <c r="AB78" s="788"/>
      <c r="AC78" s="273"/>
      <c r="AD78" s="273"/>
      <c r="AE78" s="94"/>
      <c r="AF78" s="94"/>
      <c r="AG78" s="94"/>
      <c r="AH78" s="94"/>
      <c r="AI78" s="94"/>
      <c r="AJ78" s="94"/>
    </row>
    <row r="79" spans="1:36" hidden="1" x14ac:dyDescent="0.3">
      <c r="A79"/>
      <c r="B79"/>
      <c r="C79" s="228" t="s">
        <v>166</v>
      </c>
      <c r="D79"/>
      <c r="E79"/>
      <c r="F79"/>
      <c r="G79"/>
      <c r="H79"/>
      <c r="K79" s="70"/>
      <c r="R79" s="94"/>
      <c r="S79" s="217"/>
      <c r="T79" s="91"/>
      <c r="U79" s="94"/>
      <c r="V79" s="82"/>
      <c r="W79" s="64"/>
      <c r="X79" s="273"/>
      <c r="Y79" s="273"/>
      <c r="Z79" s="273"/>
      <c r="AA79" s="273"/>
      <c r="AB79" s="788"/>
      <c r="AC79" s="273"/>
      <c r="AD79" s="273"/>
      <c r="AE79" s="94"/>
      <c r="AF79" s="94"/>
      <c r="AG79" s="94"/>
      <c r="AH79" s="94"/>
      <c r="AI79" s="94"/>
      <c r="AJ79" s="94"/>
    </row>
    <row r="80" spans="1:36" hidden="1" x14ac:dyDescent="0.25">
      <c r="A80"/>
      <c r="B80"/>
      <c r="C80">
        <f>E51</f>
        <v>0</v>
      </c>
      <c r="D80" t="str" cm="1">
        <f t="array" ref="D80">IF(_xlfn.ANCHORARRAY(C80)&lt;&gt;0,V51*1000,"")</f>
        <v/>
      </c>
      <c r="E80" t="str" cm="1">
        <f t="array" ref="E80">IF(_xlfn.ANCHORARRAY(C80)&lt;&gt;0,(S51)*T51/1000,"")</f>
        <v/>
      </c>
      <c r="F80"/>
      <c r="G80"/>
      <c r="H80"/>
      <c r="R80" s="94"/>
      <c r="S80" s="217"/>
      <c r="T80" s="91"/>
      <c r="U80" s="94"/>
      <c r="V80" s="82"/>
      <c r="W80" s="64"/>
      <c r="X80" s="273"/>
      <c r="Y80" s="273"/>
      <c r="Z80" s="273"/>
      <c r="AA80" s="273"/>
      <c r="AB80" s="788"/>
      <c r="AC80" s="273"/>
      <c r="AD80" s="273"/>
      <c r="AE80" s="94"/>
      <c r="AF80" s="94"/>
      <c r="AG80" s="94"/>
      <c r="AH80" s="94"/>
      <c r="AI80" s="94"/>
      <c r="AJ80" s="94"/>
    </row>
    <row r="81" spans="1:36" hidden="1" x14ac:dyDescent="0.25">
      <c r="A81"/>
      <c r="B81"/>
      <c r="C81" t="s">
        <v>167</v>
      </c>
      <c r="D81" t="e">
        <f>overall_CHPFuelSteamAllocation</f>
        <v>#N/A</v>
      </c>
      <c r="E81"/>
      <c r="F81"/>
      <c r="G81"/>
      <c r="R81" s="94"/>
      <c r="S81" s="217"/>
      <c r="T81" s="91"/>
      <c r="U81" s="94"/>
      <c r="V81" s="82"/>
      <c r="W81" s="94"/>
      <c r="X81" s="273"/>
      <c r="Y81" s="273"/>
      <c r="Z81" s="273"/>
      <c r="AA81" s="273"/>
      <c r="AB81" s="788"/>
      <c r="AC81" s="273"/>
      <c r="AD81" s="273"/>
      <c r="AE81" s="94"/>
      <c r="AF81" s="94"/>
      <c r="AG81" s="94"/>
      <c r="AH81" s="94"/>
      <c r="AI81" s="94"/>
      <c r="AJ81" s="94"/>
    </row>
    <row r="82" spans="1:36" s="70" customFormat="1" hidden="1" x14ac:dyDescent="0.25">
      <c r="A82"/>
      <c r="B82"/>
      <c r="C82" t="s">
        <v>168</v>
      </c>
      <c r="D82" t="e">
        <f>overall_CHPFuelElecAllocation</f>
        <v>#N/A</v>
      </c>
      <c r="E82"/>
      <c r="F82"/>
      <c r="G82"/>
      <c r="H82"/>
      <c r="I82" s="43"/>
      <c r="J82" s="43"/>
      <c r="K82" s="43"/>
      <c r="R82" s="94"/>
      <c r="S82" s="309" t="s">
        <v>169</v>
      </c>
      <c r="T82" s="309" t="s">
        <v>170</v>
      </c>
      <c r="U82" s="94"/>
      <c r="V82" s="343" t="s">
        <v>171</v>
      </c>
      <c r="W82" s="304" t="e">
        <f>AA51*V51*1000</f>
        <v>#N/A</v>
      </c>
      <c r="X82" s="94"/>
      <c r="Y82" s="94"/>
      <c r="Z82" s="94"/>
      <c r="AA82" s="94"/>
      <c r="AB82" s="305"/>
      <c r="AC82" s="94"/>
      <c r="AD82" s="94"/>
      <c r="AE82" s="94"/>
      <c r="AF82" s="94"/>
      <c r="AG82" s="94"/>
      <c r="AH82" s="94"/>
      <c r="AI82" s="94"/>
      <c r="AJ82" s="94"/>
    </row>
    <row r="83" spans="1:36" hidden="1" x14ac:dyDescent="0.3">
      <c r="A83"/>
      <c r="B83"/>
      <c r="C83" s="228" t="s">
        <v>172</v>
      </c>
      <c r="D83"/>
      <c r="E83"/>
      <c r="F83"/>
      <c r="G83"/>
      <c r="H83"/>
      <c r="R83" s="94"/>
      <c r="S83" s="309" t="s">
        <v>89</v>
      </c>
      <c r="T83" s="750" t="e">
        <f>U12</f>
        <v>#N/A</v>
      </c>
      <c r="U83" s="94"/>
      <c r="V83" s="309" t="s">
        <v>173</v>
      </c>
      <c r="W83" s="308" t="e">
        <f>Z51*V51*1000</f>
        <v>#N/A</v>
      </c>
      <c r="X83" s="94"/>
      <c r="Y83" s="94"/>
      <c r="Z83" s="94"/>
      <c r="AA83" s="94"/>
      <c r="AB83" s="305"/>
      <c r="AC83" s="94"/>
      <c r="AD83" s="94"/>
      <c r="AE83" s="94"/>
      <c r="AF83" s="94"/>
      <c r="AG83" s="94"/>
      <c r="AH83" s="94"/>
      <c r="AI83" s="94"/>
      <c r="AJ83" s="94"/>
    </row>
    <row r="84" spans="1:36" hidden="1" x14ac:dyDescent="0.25">
      <c r="A84"/>
      <c r="B84"/>
      <c r="C84">
        <f>E38</f>
        <v>0</v>
      </c>
      <c r="D84" t="str" cm="1">
        <f t="array" ref="D84">IF(_xlfn.ANCHORARRAY(C84)&lt;&gt;0,V38*1000,"")</f>
        <v/>
      </c>
      <c r="E84" t="str" cm="1">
        <f t="array" ref="E84">IF(_xlfn.ANCHORARRAY(C84)&lt;&gt;0,(S38)*T38/1000,"")</f>
        <v/>
      </c>
      <c r="F84"/>
      <c r="G84"/>
      <c r="H84"/>
      <c r="R84" s="94"/>
      <c r="S84" s="309" t="s">
        <v>91</v>
      </c>
      <c r="T84" s="529">
        <f>U13</f>
        <v>0.95499999999999996</v>
      </c>
      <c r="U84" s="94"/>
      <c r="V84"/>
      <c r="W84"/>
      <c r="X84" s="94"/>
      <c r="Y84" s="94"/>
      <c r="Z84" s="94"/>
      <c r="AA84" s="94"/>
      <c r="AB84" s="305"/>
      <c r="AC84" s="94"/>
      <c r="AD84" s="94"/>
      <c r="AE84" s="94"/>
      <c r="AF84" s="94"/>
      <c r="AG84" s="94"/>
      <c r="AH84" s="94"/>
      <c r="AI84" s="94"/>
      <c r="AJ84" s="94"/>
    </row>
    <row r="85" spans="1:36" hidden="1" x14ac:dyDescent="0.25">
      <c r="R85" s="94"/>
      <c r="S85" s="309" t="s">
        <v>174</v>
      </c>
      <c r="T85" s="749" t="e">
        <f>total_emissionsCombustionBasedElectricity/overall_totalOnsiteElecGen</f>
        <v>#DIV/0!</v>
      </c>
      <c r="U85" s="307"/>
      <c r="V85" s="322"/>
      <c r="W85" s="322"/>
      <c r="X85" s="307"/>
      <c r="Y85" s="307"/>
      <c r="Z85" s="307"/>
      <c r="AA85" s="307"/>
      <c r="AB85" s="308"/>
      <c r="AC85" s="94"/>
      <c r="AD85" s="94"/>
      <c r="AE85" s="94"/>
      <c r="AF85" s="94"/>
      <c r="AG85" s="94"/>
      <c r="AH85" s="94"/>
      <c r="AI85" s="94"/>
      <c r="AJ85" s="94"/>
    </row>
    <row r="86" spans="1:36" ht="15" hidden="1" customHeight="1" x14ac:dyDescent="0.25">
      <c r="H86" s="70"/>
      <c r="I86" s="70"/>
      <c r="J86" s="70"/>
      <c r="R86" s="94"/>
      <c r="S86" s="94"/>
      <c r="T86" s="94"/>
      <c r="U86" s="94"/>
      <c r="V86"/>
      <c r="W86"/>
      <c r="X86" s="94"/>
      <c r="Y86" s="94"/>
      <c r="Z86" s="94"/>
      <c r="AA86" s="94"/>
      <c r="AB86" s="94"/>
      <c r="AC86" s="94"/>
      <c r="AD86" s="94"/>
      <c r="AE86" s="94"/>
      <c r="AF86" s="94"/>
      <c r="AG86" s="94"/>
      <c r="AH86" s="94"/>
      <c r="AI86" s="94"/>
      <c r="AJ86" s="94"/>
    </row>
    <row r="87" spans="1:36" ht="15" hidden="1" customHeight="1" x14ac:dyDescent="0.25">
      <c r="R87" s="94"/>
      <c r="S87" s="94"/>
      <c r="T87" s="94"/>
      <c r="U87" s="94"/>
      <c r="V87" s="94"/>
      <c r="W87" s="94"/>
      <c r="X87" s="94"/>
      <c r="Y87" s="94"/>
      <c r="Z87" s="94"/>
      <c r="AA87" s="94"/>
      <c r="AB87" s="94"/>
      <c r="AC87" s="94"/>
      <c r="AD87" s="94"/>
      <c r="AE87" s="94"/>
      <c r="AF87" s="94"/>
      <c r="AG87" s="94"/>
      <c r="AH87" s="94"/>
      <c r="AI87" s="94"/>
      <c r="AJ87" s="94"/>
    </row>
    <row r="88" spans="1:36" hidden="1" x14ac:dyDescent="0.25">
      <c r="R88" s="94"/>
      <c r="S88" s="82"/>
      <c r="T88" s="82"/>
      <c r="U88" s="94"/>
      <c r="V88" s="94"/>
      <c r="W88" s="94"/>
      <c r="X88" s="94"/>
      <c r="Y88" s="94"/>
      <c r="Z88" s="94"/>
      <c r="AA88" s="94"/>
      <c r="AB88" s="94"/>
      <c r="AC88" s="94"/>
      <c r="AD88" s="94"/>
      <c r="AE88" s="94"/>
      <c r="AF88" s="94"/>
      <c r="AG88" s="94"/>
      <c r="AH88" s="94"/>
      <c r="AI88" s="94"/>
      <c r="AJ88" s="94"/>
    </row>
    <row r="89" spans="1:36" hidden="1" x14ac:dyDescent="0.25">
      <c r="B89" s="70"/>
      <c r="F89" s="70"/>
      <c r="G89" s="70"/>
      <c r="K89" s="70"/>
      <c r="R89" s="94"/>
      <c r="S89" s="82"/>
      <c r="T89" s="82"/>
      <c r="U89" s="94"/>
      <c r="V89" s="82"/>
      <c r="W89" s="64"/>
      <c r="X89" s="94"/>
      <c r="Y89" s="94"/>
      <c r="Z89" s="94"/>
      <c r="AA89" s="94"/>
      <c r="AB89" s="94"/>
      <c r="AC89" s="94"/>
      <c r="AD89" s="94"/>
      <c r="AE89" s="94"/>
      <c r="AF89" s="94"/>
      <c r="AG89" s="94"/>
      <c r="AH89" s="94"/>
      <c r="AI89" s="94"/>
      <c r="AJ89" s="94"/>
    </row>
    <row r="107" spans="2:36" hidden="1" x14ac:dyDescent="0.25">
      <c r="R107" s="94"/>
      <c r="S107" s="94"/>
      <c r="T107" s="94"/>
      <c r="U107" s="94"/>
      <c r="V107" s="82"/>
      <c r="W107" s="64"/>
      <c r="X107" s="94"/>
      <c r="Y107" s="94"/>
      <c r="Z107" s="94"/>
      <c r="AA107" s="94"/>
      <c r="AB107" s="94"/>
      <c r="AC107" s="94"/>
      <c r="AD107" s="94"/>
      <c r="AE107" s="94"/>
      <c r="AF107" s="94"/>
      <c r="AG107" s="94"/>
      <c r="AH107" s="94"/>
      <c r="AI107" s="94"/>
      <c r="AJ107" s="94"/>
    </row>
    <row r="108" spans="2:36" hidden="1" x14ac:dyDescent="0.25">
      <c r="R108" s="94"/>
      <c r="S108" s="94"/>
      <c r="T108" s="94"/>
      <c r="U108" s="94"/>
      <c r="V108" s="94"/>
      <c r="W108" s="94"/>
      <c r="X108" s="94"/>
      <c r="Y108" s="94"/>
      <c r="Z108" s="94"/>
      <c r="AA108" s="94"/>
      <c r="AB108" s="94"/>
      <c r="AC108" s="94"/>
      <c r="AD108" s="94"/>
      <c r="AE108" s="94"/>
      <c r="AF108" s="94"/>
      <c r="AG108" s="94"/>
      <c r="AH108" s="94"/>
      <c r="AI108" s="94"/>
      <c r="AJ108" s="94"/>
    </row>
    <row r="109" spans="2:36" s="70" customFormat="1" hidden="1" x14ac:dyDescent="0.25">
      <c r="B109" s="43"/>
      <c r="C109" s="43"/>
      <c r="D109" s="43"/>
      <c r="E109" s="43"/>
      <c r="F109" s="43"/>
      <c r="G109" s="43"/>
      <c r="H109" s="43"/>
      <c r="I109" s="43"/>
      <c r="J109" s="43"/>
      <c r="K109" s="43"/>
      <c r="R109" s="94"/>
      <c r="U109" s="94"/>
      <c r="V109" s="94"/>
      <c r="W109" s="94"/>
      <c r="X109" s="94"/>
      <c r="Y109" s="94"/>
      <c r="Z109" s="94"/>
      <c r="AA109" s="94"/>
      <c r="AB109" s="94"/>
      <c r="AC109" s="94"/>
      <c r="AD109" s="94"/>
      <c r="AE109" s="94"/>
      <c r="AF109" s="94"/>
      <c r="AG109" s="94"/>
      <c r="AH109" s="94"/>
      <c r="AI109" s="94"/>
      <c r="AJ109" s="94"/>
    </row>
    <row r="110" spans="2:36" hidden="1" x14ac:dyDescent="0.25">
      <c r="U110" s="70"/>
      <c r="V110" s="70"/>
      <c r="W110" s="70"/>
      <c r="X110" s="70"/>
      <c r="Y110" s="70"/>
      <c r="Z110" s="70"/>
      <c r="AA110" s="70"/>
      <c r="AB110" s="70"/>
      <c r="AC110" s="70"/>
      <c r="AD110" s="70"/>
      <c r="AE110" s="70"/>
      <c r="AF110" s="70"/>
      <c r="AG110" s="70"/>
      <c r="AH110" s="70"/>
      <c r="AI110" s="70"/>
      <c r="AJ110" s="70"/>
    </row>
    <row r="114" spans="2:36" hidden="1" x14ac:dyDescent="0.25">
      <c r="T114" s="92"/>
    </row>
    <row r="115" spans="2:36" hidden="1" x14ac:dyDescent="0.25">
      <c r="H115" s="70"/>
      <c r="I115" s="70"/>
      <c r="J115" s="70"/>
      <c r="S115" s="70"/>
      <c r="T115" s="70"/>
      <c r="U115" s="92"/>
    </row>
    <row r="116" spans="2:36" hidden="1" x14ac:dyDescent="0.25">
      <c r="U116" s="70"/>
      <c r="V116" s="70"/>
      <c r="W116" s="70"/>
      <c r="X116" s="70"/>
      <c r="Y116" s="70"/>
      <c r="Z116" s="70"/>
      <c r="AA116" s="70"/>
      <c r="AB116" s="70"/>
      <c r="AC116" s="70"/>
      <c r="AD116" s="70"/>
      <c r="AE116" s="70"/>
      <c r="AF116" s="70"/>
      <c r="AG116" s="70"/>
      <c r="AH116" s="70"/>
      <c r="AI116" s="70"/>
      <c r="AJ116" s="70"/>
    </row>
    <row r="118" spans="2:36" hidden="1" x14ac:dyDescent="0.25">
      <c r="B118" s="70"/>
      <c r="C118" s="70"/>
      <c r="D118" s="70"/>
      <c r="E118" s="70"/>
      <c r="F118" s="70"/>
      <c r="G118" s="70"/>
      <c r="K118" s="70"/>
      <c r="S118" s="92"/>
    </row>
    <row r="119" spans="2:36" hidden="1" x14ac:dyDescent="0.25">
      <c r="S119" s="1876"/>
      <c r="T119" s="1876"/>
    </row>
    <row r="120" spans="2:36" hidden="1" x14ac:dyDescent="0.25">
      <c r="S120" s="1876"/>
      <c r="T120" s="1876"/>
      <c r="V120" s="92"/>
    </row>
    <row r="121" spans="2:36" s="70" customFormat="1" hidden="1" x14ac:dyDescent="0.25">
      <c r="B121" s="43"/>
      <c r="C121" s="43"/>
      <c r="D121" s="43"/>
      <c r="E121" s="43"/>
      <c r="F121" s="43"/>
      <c r="G121" s="43"/>
      <c r="K121" s="43"/>
      <c r="S121" s="43"/>
      <c r="T121" s="43"/>
      <c r="U121" s="43"/>
      <c r="V121" s="43"/>
      <c r="W121" s="43"/>
      <c r="X121" s="43"/>
      <c r="Y121" s="43"/>
      <c r="Z121" s="43"/>
      <c r="AA121" s="43"/>
      <c r="AB121" s="43"/>
      <c r="AC121" s="43"/>
      <c r="AD121" s="43"/>
      <c r="AE121" s="43"/>
      <c r="AF121" s="43"/>
      <c r="AG121" s="43"/>
      <c r="AH121" s="43"/>
      <c r="AI121" s="43"/>
      <c r="AJ121" s="43"/>
    </row>
    <row r="124" spans="2:36" hidden="1" x14ac:dyDescent="0.25">
      <c r="B124" s="70"/>
      <c r="C124" s="70"/>
      <c r="D124" s="70"/>
      <c r="E124" s="70"/>
      <c r="F124" s="70"/>
      <c r="G124" s="70"/>
      <c r="K124" s="70"/>
    </row>
    <row r="127" spans="2:36" s="70" customFormat="1" hidden="1" x14ac:dyDescent="0.25">
      <c r="B127" s="43"/>
      <c r="C127" s="43"/>
      <c r="D127" s="43"/>
      <c r="E127" s="43"/>
      <c r="F127" s="43"/>
      <c r="G127" s="43"/>
      <c r="H127" s="43"/>
      <c r="I127" s="43"/>
      <c r="J127" s="43"/>
      <c r="K127" s="43"/>
      <c r="S127" s="43"/>
      <c r="T127" s="43"/>
      <c r="U127" s="43"/>
      <c r="V127" s="43"/>
      <c r="W127" s="43"/>
      <c r="X127" s="43"/>
      <c r="Y127" s="43"/>
      <c r="Z127" s="43"/>
      <c r="AA127" s="43"/>
      <c r="AB127" s="43"/>
      <c r="AC127" s="43"/>
      <c r="AD127" s="43"/>
      <c r="AE127" s="43"/>
      <c r="AF127" s="43"/>
      <c r="AG127" s="43"/>
      <c r="AH127" s="43"/>
      <c r="AI127" s="43"/>
      <c r="AJ127" s="43"/>
    </row>
  </sheetData>
  <sheetProtection sheet="1" selectLockedCells="1"/>
  <mergeCells count="5">
    <mergeCell ref="B3:K3"/>
    <mergeCell ref="S119:T119"/>
    <mergeCell ref="S120:T120"/>
    <mergeCell ref="U77:V77"/>
    <mergeCell ref="U78:V78"/>
  </mergeCells>
  <conditionalFormatting sqref="E42">
    <cfRule type="expression" dxfId="262" priority="84">
      <formula>AND(NOT(ISNUMBER(#REF!)),$F42&lt;&gt;"")</formula>
    </cfRule>
  </conditionalFormatting>
  <conditionalFormatting sqref="E55">
    <cfRule type="expression" dxfId="261" priority="105">
      <formula>AND(NOT(ISNUMBER($U64)),$F55&lt;&gt;"")</formula>
    </cfRule>
  </conditionalFormatting>
  <conditionalFormatting sqref="F39">
    <cfRule type="expression" dxfId="260" priority="1">
      <formula>AND(NOT(ISNUMBER($V$38)),$E$38&lt;&gt;"")</formula>
    </cfRule>
  </conditionalFormatting>
  <conditionalFormatting sqref="F52">
    <cfRule type="expression" dxfId="259" priority="67">
      <formula>AND(NOT(ISNUMBER($V$51)),$E$51&lt;&gt;"")</formula>
    </cfRule>
  </conditionalFormatting>
  <dataValidations count="10">
    <dataValidation type="decimal" operator="greaterThanOrEqual" allowBlank="1" showInputMessage="1" showErrorMessage="1" prompt="If no bespoke factor entered, a default will be selected." sqref="E53:E54 E40:E41" xr:uid="{9EB47500-153D-4FED-9454-04866625072F}">
      <formula1>0</formula1>
    </dataValidation>
    <dataValidation type="decimal" operator="greaterThanOrEqual" allowBlank="1" showInputMessage="1" showErrorMessage="1" prompt="If no bespoke factor is entered a default will be selected._x000a__x000a_Note no defaults exist for some fuels. Cell will appear red if no default exists_x000a_" sqref="E55 E42" xr:uid="{3A19911C-8729-4554-B545-01778D969693}">
      <formula1>0</formula1>
    </dataValidation>
    <dataValidation type="list" allowBlank="1" showInputMessage="1" showErrorMessage="1" sqref="F56" xr:uid="{280DF9EE-E20A-439C-B38B-7041B2F7002B}">
      <formula1>Mass_Units_Options</formula1>
    </dataValidation>
    <dataValidation type="list" allowBlank="1" showInputMessage="1" showErrorMessage="1" sqref="E57" xr:uid="{95F1C759-C228-45B5-A863-A144CAA9CBA7}">
      <formula1>Steam_Properties_Options</formula1>
    </dataValidation>
    <dataValidation allowBlank="1" showDropDown="1" showInputMessage="1" showErrorMessage="1" sqref="C12:C13 C43 C22:C30" xr:uid="{A8BAE5BE-BF3C-463A-8FD9-6AC9CFB80AC5}"/>
    <dataValidation type="decimal" operator="greaterThanOrEqual" allowBlank="1" showErrorMessage="1" error="Value must be greater than or equal to zero." sqref="E52 E56 E30 E39 E43 E58 E22" xr:uid="{08FE25AA-871F-42EF-AF30-937773549AD2}">
      <formula1>0</formula1>
    </dataValidation>
    <dataValidation type="decimal" operator="greaterThanOrEqual" allowBlank="1" showInputMessage="1" showErrorMessage="1" error="Value must be greater than or equal to zero." prompt="Input total quantity of imported grid electricity, including any electricity that may be offset by eligible renewable electricity claims." sqref="E12" xr:uid="{5D1B5444-EA0C-4C56-B49E-0655A9CA97C3}">
      <formula1>0</formula1>
    </dataValidation>
    <dataValidation type="list" allowBlank="1" showDropDown="1" showInputMessage="1" showErrorMessage="1" sqref="F12:F13 F43 F58 F22 F24:F30" xr:uid="{9BBD59EC-0ACE-438D-8B85-07F6637CA827}">
      <formula1>Energy_Units_Options</formula1>
    </dataValidation>
    <dataValidation type="decimal" operator="greaterThanOrEqual" allowBlank="1" showInputMessage="1" showErrorMessage="1" sqref="E24:E29" xr:uid="{5584D82E-EF1D-4622-B1F7-5387263E8399}">
      <formula1>0</formula1>
    </dataValidation>
    <dataValidation type="decimal" operator="greaterThanOrEqual" allowBlank="1" showInputMessage="1" showErrorMessage="1" error="Value must be greater than or equal to zero." prompt="Greenpower %, either retail or certified through corporate direct products. Calculates as part of the next line." sqref="E23" xr:uid="{DCA94FAB-29AB-433F-B1E1-8C556FE772ED}">
      <formula1>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B0C5C858-0D42-4BDE-8065-AEB2EDE7BEA9}">
          <x14:formula1>
            <xm:f>'Key Values'!$B$35:$B$37</xm:f>
          </x14:formula1>
          <xm:sqref>E50 E37</xm:sqref>
        </x14:dataValidation>
        <x14:dataValidation type="list" allowBlank="1" showDropDown="1" showInputMessage="1" showErrorMessage="1" xr:uid="{1E66B8D8-DDB8-47B4-9716-A8697F82CE7B}">
          <x14:formula1>
            <xm:f>'Key Values'!$B$303</xm:f>
          </x14:formula1>
          <xm:sqref>F30 F43</xm:sqref>
        </x14:dataValidation>
        <x14:dataValidation type="list" allowBlank="1" showDropDown="1" showInputMessage="1" showErrorMessage="1" xr:uid="{37684E32-1045-46AF-96AF-DC2FA23DB8B5}">
          <x14:formula1>
            <xm:f>'Key Values'!$B$155:$B$156</xm:f>
          </x14:formula1>
          <xm:sqref>W12:W13 W43</xm:sqref>
        </x14:dataValidation>
        <x14:dataValidation type="list" allowBlank="1" showInputMessage="1" showErrorMessage="1" xr:uid="{ADEB0CB7-3533-454D-8F90-8BF859FC11B2}">
          <x14:formula1>
            <xm:f>IF(E37="Solid Fuel", 'Key Values'!$B$41:$B$58,IF(E37="Gaseous Fuel",'Key Values'!$B$72:$B$85,'Key Values'!$B$101:$B$120))</xm:f>
          </x14:formula1>
          <xm:sqref>E51 E38</xm:sqref>
        </x14:dataValidation>
        <x14:dataValidation type="list" allowBlank="1" showInputMessage="1" showErrorMessage="1" prompt="Cell will appear red if incompatible unit is selected" xr:uid="{F2273501-0492-45B8-8676-BA229C6AA07F}">
          <x14:formula1>
            <xm:f>IF(OR(AND(E37="Liquid Fuel", _xlfn.IFNA(VLOOKUP(E38,'Key Values'!$B$101:$H$120,3,FALSE)="GJ/t", FALSE) ),E37="Solid Fuel"),'Key Values'!$B$291:$B$292, 'Key Values'!$B$296:$B$298)</xm:f>
          </x14:formula1>
          <xm:sqref>F39 F52</xm:sqref>
        </x14:dataValidation>
        <x14:dataValidation type="list" allowBlank="1" showInputMessage="1" showErrorMessage="1" xr:uid="{56FE7BD4-EC6F-458C-BAA0-623C9481042B}">
          <x14:formula1>
            <xm:f>'Hidden Lists and Summaries'!B$151:B$152</xm:f>
          </x14:formula1>
          <xm:sqref>E20:E21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5C776-F241-4E62-A5F0-D736138A3116}">
  <sheetPr codeName="Sheet8">
    <tabColor theme="7" tint="0.39997558519241921"/>
  </sheetPr>
  <dimension ref="A1:AR354"/>
  <sheetViews>
    <sheetView showGridLines="0" zoomScaleNormal="100" workbookViewId="0">
      <pane xSplit="3" ySplit="6" topLeftCell="D71" activePane="bottomRight" state="frozen"/>
      <selection pane="topRight" activeCell="D1" sqref="D1"/>
      <selection pane="bottomLeft" activeCell="A7" sqref="A7"/>
      <selection pane="bottomRight" activeCell="G78" sqref="G78"/>
    </sheetView>
  </sheetViews>
  <sheetFormatPr defaultColWidth="0" defaultRowHeight="15.5" zeroHeight="1" x14ac:dyDescent="0.25"/>
  <cols>
    <col min="1" max="1" width="3.453125" style="43" customWidth="1"/>
    <col min="2" max="2" width="3.54296875" style="43" customWidth="1"/>
    <col min="3" max="3" width="44.54296875" style="43" customWidth="1"/>
    <col min="4" max="4" width="5.453125" style="43" customWidth="1"/>
    <col min="5" max="11" width="40.54296875" style="43" customWidth="1"/>
    <col min="12" max="13" width="11.81640625" style="43" customWidth="1"/>
    <col min="14" max="14" width="26.453125" style="43" customWidth="1"/>
    <col min="15" max="15" width="29.453125" style="43" customWidth="1"/>
    <col min="16" max="16" width="5.81640625" style="43" customWidth="1"/>
    <col min="17" max="17" width="8.54296875" style="43" customWidth="1"/>
    <col min="18" max="18" width="3.453125" style="43" customWidth="1"/>
    <col min="19" max="24" width="8.54296875" style="43" hidden="1" customWidth="1"/>
    <col min="25" max="25" width="43.453125" style="43" hidden="1" customWidth="1"/>
    <col min="26" max="26" width="50.81640625" style="43" hidden="1" customWidth="1"/>
    <col min="27" max="27" width="51.1796875" style="43" hidden="1" customWidth="1"/>
    <col min="28" max="28" width="61.453125" style="43" hidden="1" customWidth="1"/>
    <col min="29" max="29" width="35.453125" style="43" hidden="1" customWidth="1"/>
    <col min="30" max="30" width="35.81640625" style="43" hidden="1" customWidth="1"/>
    <col min="31" max="31" width="25.1796875" style="43" hidden="1" customWidth="1"/>
    <col min="32" max="34" width="8.54296875" style="43" hidden="1" customWidth="1"/>
    <col min="35" max="35" width="8.453125" style="43" hidden="1" customWidth="1"/>
    <col min="36" max="36" width="9.54296875" style="43" hidden="1" customWidth="1"/>
    <col min="37" max="38" width="24.453125" style="43" hidden="1" customWidth="1"/>
    <col min="39" max="39" width="27.453125" style="43" hidden="1" customWidth="1"/>
    <col min="40" max="40" width="10.453125" style="43" hidden="1" customWidth="1"/>
    <col min="41" max="44" width="0" style="43" hidden="1" customWidth="1"/>
    <col min="45" max="16384" width="8.54296875" style="43" hidden="1"/>
  </cols>
  <sheetData>
    <row r="1" spans="2:32" ht="18" customHeight="1" x14ac:dyDescent="0.25"/>
    <row r="2" spans="2:32" ht="102" customHeight="1" x14ac:dyDescent="0.25"/>
    <row r="3" spans="2:32" ht="45.75" customHeight="1" x14ac:dyDescent="0.25">
      <c r="B3" s="1884" t="s">
        <v>175</v>
      </c>
      <c r="C3" s="1884"/>
      <c r="D3" s="1884"/>
      <c r="E3" s="1884"/>
      <c r="F3" s="1884"/>
      <c r="G3" s="1884"/>
      <c r="H3" s="1884"/>
      <c r="I3" s="1884"/>
      <c r="J3" s="1884"/>
      <c r="K3" s="1884"/>
      <c r="L3" s="1884"/>
      <c r="M3" s="1884"/>
      <c r="N3" s="1884"/>
      <c r="O3" s="1884"/>
      <c r="P3" s="1884"/>
      <c r="Q3" s="1884"/>
    </row>
    <row r="4" spans="2:32" ht="15.65" customHeight="1" x14ac:dyDescent="0.25">
      <c r="B4" s="44"/>
      <c r="C4" s="44"/>
      <c r="D4" s="44"/>
      <c r="E4" s="44"/>
      <c r="F4" s="44"/>
      <c r="G4" s="44"/>
      <c r="H4" s="44"/>
      <c r="I4" s="44"/>
      <c r="J4" s="44"/>
      <c r="K4" s="44"/>
      <c r="L4" s="44"/>
      <c r="M4" s="44"/>
      <c r="N4" s="44"/>
      <c r="O4" s="44"/>
      <c r="P4" s="44"/>
      <c r="Q4" s="44"/>
      <c r="Y4" s="276"/>
      <c r="Z4" s="277"/>
      <c r="AA4" s="277"/>
      <c r="AB4" s="277"/>
      <c r="AC4" s="277"/>
      <c r="AD4" s="277"/>
      <c r="AE4" s="342"/>
      <c r="AF4" s="292"/>
    </row>
    <row r="5" spans="2:32" ht="15.65" customHeight="1" x14ac:dyDescent="0.25">
      <c r="B5" s="44"/>
      <c r="C5" s="45" t="s">
        <v>176</v>
      </c>
      <c r="D5" s="44"/>
      <c r="E5" s="44"/>
      <c r="F5" s="44"/>
      <c r="G5" s="44"/>
      <c r="H5" s="44"/>
      <c r="I5" s="44"/>
      <c r="J5" s="44"/>
      <c r="K5" s="44"/>
      <c r="L5" s="44"/>
      <c r="M5" s="44"/>
      <c r="N5" s="44"/>
      <c r="O5" s="44"/>
      <c r="P5" s="44"/>
      <c r="Q5" s="44"/>
      <c r="Y5" s="279" t="s">
        <v>72</v>
      </c>
      <c r="Z5" s="280"/>
      <c r="AA5" s="280"/>
      <c r="AB5" s="280"/>
      <c r="AC5" s="280"/>
      <c r="AD5" s="44"/>
      <c r="AE5" s="292"/>
      <c r="AF5" s="292"/>
    </row>
    <row r="6" spans="2:32" ht="15.65" customHeight="1" x14ac:dyDescent="0.25">
      <c r="B6" s="44"/>
      <c r="C6" s="44"/>
      <c r="D6" s="44"/>
      <c r="E6" s="44"/>
      <c r="F6" s="44"/>
      <c r="G6" s="44"/>
      <c r="H6" s="44"/>
      <c r="I6" s="44"/>
      <c r="J6" s="44"/>
      <c r="K6" s="44"/>
      <c r="L6" s="44"/>
      <c r="M6" s="44"/>
      <c r="N6" s="44"/>
      <c r="O6" s="44"/>
      <c r="P6" s="44"/>
      <c r="Q6" s="44"/>
      <c r="Y6" s="281"/>
      <c r="Z6" s="280"/>
      <c r="AA6" s="280"/>
      <c r="AB6" s="280"/>
      <c r="AC6" s="280"/>
      <c r="AD6" s="44"/>
      <c r="AE6" s="292"/>
      <c r="AF6" s="292"/>
    </row>
    <row r="7" spans="2:32" ht="15.65" customHeight="1" x14ac:dyDescent="0.25">
      <c r="Y7" s="786"/>
      <c r="Z7" s="104"/>
      <c r="AA7" s="104"/>
      <c r="AB7" s="104"/>
      <c r="AC7" s="104"/>
      <c r="AD7" s="104"/>
      <c r="AE7" s="104"/>
      <c r="AF7" s="218"/>
    </row>
    <row r="8" spans="2:32" ht="15.65" customHeight="1" x14ac:dyDescent="0.25">
      <c r="B8" s="121"/>
      <c r="C8" s="122"/>
      <c r="D8" s="122"/>
      <c r="E8" s="122"/>
      <c r="F8" s="122"/>
      <c r="G8" s="122"/>
      <c r="H8" s="122"/>
      <c r="I8" s="122"/>
      <c r="J8" s="122"/>
      <c r="K8" s="122"/>
      <c r="L8" s="122"/>
      <c r="M8" s="122"/>
      <c r="N8" s="122"/>
      <c r="O8" s="122"/>
      <c r="P8" s="122"/>
      <c r="Q8" s="123"/>
      <c r="Y8" s="263"/>
      <c r="Z8" s="91"/>
      <c r="AA8" s="91"/>
      <c r="AB8" s="91"/>
      <c r="AC8" s="91"/>
      <c r="AD8" s="91"/>
      <c r="AE8" s="91"/>
      <c r="AF8" s="218"/>
    </row>
    <row r="9" spans="2:32" ht="15.65" customHeight="1" x14ac:dyDescent="0.25">
      <c r="B9" s="124"/>
      <c r="C9" s="125" t="s">
        <v>1314</v>
      </c>
      <c r="D9" s="126"/>
      <c r="E9" s="126"/>
      <c r="F9" s="126"/>
      <c r="G9" s="126"/>
      <c r="H9" s="126"/>
      <c r="I9" s="126"/>
      <c r="J9" s="126"/>
      <c r="K9" s="126"/>
      <c r="L9" s="126"/>
      <c r="M9" s="126"/>
      <c r="N9" s="126"/>
      <c r="O9" s="126"/>
      <c r="P9" s="126"/>
      <c r="Q9" s="127"/>
      <c r="Y9" s="217"/>
      <c r="Z9" s="91"/>
      <c r="AA9" s="91"/>
      <c r="AB9" s="91"/>
      <c r="AC9" s="91"/>
      <c r="AD9" s="91"/>
      <c r="AE9" s="91"/>
      <c r="AF9" s="218"/>
    </row>
    <row r="10" spans="2:32" ht="15.65" customHeight="1" x14ac:dyDescent="0.25">
      <c r="B10" s="171"/>
      <c r="C10" s="153"/>
      <c r="D10" s="153"/>
      <c r="E10" s="130" t="s">
        <v>177</v>
      </c>
      <c r="F10" s="130"/>
      <c r="G10" s="153"/>
      <c r="H10" s="175"/>
      <c r="I10" s="175"/>
      <c r="J10" s="172"/>
      <c r="K10" s="153"/>
      <c r="L10" s="153"/>
      <c r="M10" s="153"/>
      <c r="N10" s="153"/>
      <c r="O10" s="153"/>
      <c r="P10" s="153"/>
      <c r="Q10" s="174"/>
      <c r="Y10" s="217"/>
      <c r="Z10" s="91"/>
      <c r="AA10" s="91"/>
      <c r="AB10" s="91"/>
      <c r="AC10" s="91"/>
      <c r="AD10" s="91"/>
      <c r="AE10" s="91"/>
      <c r="AF10" s="218"/>
    </row>
    <row r="11" spans="2:32" ht="15.65" customHeight="1" x14ac:dyDescent="0.25">
      <c r="B11" s="46"/>
      <c r="C11" s="47"/>
      <c r="D11" s="47"/>
      <c r="E11" s="47"/>
      <c r="F11" s="47"/>
      <c r="G11" s="47"/>
      <c r="H11" s="48"/>
      <c r="I11" s="48"/>
      <c r="J11" s="47"/>
      <c r="K11" s="47"/>
      <c r="L11" s="47"/>
      <c r="M11" s="47"/>
      <c r="N11" s="47"/>
      <c r="O11" s="47"/>
      <c r="P11" s="47"/>
      <c r="Q11" s="49"/>
      <c r="Y11" s="217"/>
      <c r="Z11" s="91"/>
      <c r="AA11" s="91"/>
      <c r="AB11" s="91"/>
      <c r="AC11" s="91"/>
      <c r="AD11" s="91"/>
      <c r="AE11" s="91"/>
      <c r="AF11" s="218"/>
    </row>
    <row r="12" spans="2:32" ht="15.65" customHeight="1" x14ac:dyDescent="0.25">
      <c r="B12" s="46"/>
      <c r="C12" s="47" t="s">
        <v>178</v>
      </c>
      <c r="D12" s="47"/>
      <c r="E12" s="345"/>
      <c r="F12" s="51"/>
      <c r="G12" s="47"/>
      <c r="H12" s="48"/>
      <c r="I12" s="48"/>
      <c r="J12" s="52"/>
      <c r="K12" s="47"/>
      <c r="L12" s="47"/>
      <c r="M12" s="47"/>
      <c r="N12" s="47"/>
      <c r="O12" s="47"/>
      <c r="P12" s="47"/>
      <c r="Q12" s="49"/>
      <c r="Y12" s="217"/>
      <c r="Z12" s="68"/>
      <c r="AA12" s="91"/>
      <c r="AB12" s="91"/>
      <c r="AC12" s="91"/>
      <c r="AD12" s="91"/>
      <c r="AE12" s="91"/>
      <c r="AF12" s="218"/>
    </row>
    <row r="13" spans="2:32" ht="15.65" customHeight="1" x14ac:dyDescent="0.25">
      <c r="B13" s="46"/>
      <c r="C13" s="47" t="s">
        <v>179</v>
      </c>
      <c r="D13" s="47"/>
      <c r="E13" s="346"/>
      <c r="F13" s="51"/>
      <c r="G13" s="47"/>
      <c r="H13" s="48"/>
      <c r="I13" s="48"/>
      <c r="J13" s="52"/>
      <c r="K13" s="47"/>
      <c r="L13" s="47"/>
      <c r="M13" s="47"/>
      <c r="N13" s="47"/>
      <c r="O13" s="47"/>
      <c r="P13" s="47"/>
      <c r="Q13" s="49"/>
      <c r="Y13" s="217"/>
      <c r="Z13" s="68"/>
      <c r="AA13" s="91"/>
      <c r="AB13" s="91"/>
      <c r="AC13" s="91"/>
      <c r="AD13" s="91"/>
      <c r="AE13" s="91"/>
      <c r="AF13" s="218"/>
    </row>
    <row r="14" spans="2:32" ht="15.65" customHeight="1" x14ac:dyDescent="0.25">
      <c r="B14" s="46"/>
      <c r="C14" s="47" t="s">
        <v>180</v>
      </c>
      <c r="D14" s="47"/>
      <c r="E14" s="521"/>
      <c r="F14" s="51"/>
      <c r="G14" s="47"/>
      <c r="H14" s="48"/>
      <c r="I14" s="48"/>
      <c r="J14" s="52"/>
      <c r="K14" s="47"/>
      <c r="L14" s="47"/>
      <c r="M14" s="47"/>
      <c r="N14" s="47"/>
      <c r="O14" s="47"/>
      <c r="P14" s="47"/>
      <c r="Q14" s="49"/>
      <c r="Y14" s="332" t="s">
        <v>181</v>
      </c>
      <c r="Z14" s="68"/>
      <c r="AA14" s="91"/>
      <c r="AB14" s="91"/>
      <c r="AC14" s="91"/>
      <c r="AD14" s="91"/>
      <c r="AE14" s="91"/>
      <c r="AF14" s="218"/>
    </row>
    <row r="15" spans="2:32" customFormat="1" x14ac:dyDescent="0.25">
      <c r="B15" s="46"/>
      <c r="C15" s="47" t="s">
        <v>182</v>
      </c>
      <c r="D15" s="47"/>
      <c r="E15" s="1568"/>
      <c r="F15" s="948" t="s">
        <v>183</v>
      </c>
      <c r="G15" s="47"/>
      <c r="H15" s="48"/>
      <c r="I15" s="48"/>
      <c r="J15" s="50"/>
      <c r="K15" s="47"/>
      <c r="L15" s="47"/>
      <c r="M15" s="47"/>
      <c r="N15" s="47"/>
      <c r="O15" s="47"/>
      <c r="P15" s="47"/>
      <c r="Q15" s="49"/>
      <c r="Y15" s="522">
        <f>electrolysis_annual_capacity*VLOOKUP(F15,massConv[],2,FALSE)</f>
        <v>0</v>
      </c>
      <c r="AF15" s="261"/>
    </row>
    <row r="16" spans="2:32" ht="15.65" customHeight="1" x14ac:dyDescent="0.25">
      <c r="B16" s="53"/>
      <c r="C16" s="54"/>
      <c r="D16" s="54"/>
      <c r="E16" s="165"/>
      <c r="F16" s="54"/>
      <c r="G16" s="54"/>
      <c r="H16" s="54"/>
      <c r="I16" s="54"/>
      <c r="J16" s="54"/>
      <c r="K16" s="54"/>
      <c r="L16" s="54"/>
      <c r="M16" s="54"/>
      <c r="N16" s="54"/>
      <c r="O16" s="54"/>
      <c r="P16" s="54"/>
      <c r="Q16" s="55"/>
      <c r="Y16" s="217"/>
      <c r="Z16" s="91"/>
      <c r="AA16" s="91"/>
      <c r="AB16" s="91"/>
      <c r="AC16" s="91"/>
      <c r="AD16" s="91"/>
      <c r="AE16" s="91"/>
      <c r="AF16" s="218"/>
    </row>
    <row r="17" spans="2:40" customFormat="1" x14ac:dyDescent="0.25">
      <c r="B17" s="56"/>
      <c r="C17" s="56"/>
      <c r="D17" s="56"/>
      <c r="E17" s="56"/>
      <c r="F17" s="56"/>
      <c r="G17" s="56"/>
      <c r="H17" s="56"/>
      <c r="I17" s="56"/>
      <c r="J17" s="56"/>
      <c r="K17" s="56"/>
      <c r="L17" s="56"/>
      <c r="M17" s="56"/>
      <c r="N17" s="56"/>
      <c r="O17" s="56"/>
      <c r="P17" s="56"/>
      <c r="Q17" s="56"/>
      <c r="Y17" s="263"/>
      <c r="AF17" s="261"/>
      <c r="AI17" s="43"/>
      <c r="AJ17" s="43"/>
      <c r="AK17" s="43"/>
      <c r="AL17" s="43"/>
    </row>
    <row r="18" spans="2:40" customFormat="1" x14ac:dyDescent="0.25">
      <c r="B18" s="121"/>
      <c r="C18" s="122"/>
      <c r="D18" s="122"/>
      <c r="E18" s="122"/>
      <c r="F18" s="122"/>
      <c r="G18" s="122"/>
      <c r="H18" s="122"/>
      <c r="I18" s="122"/>
      <c r="J18" s="122"/>
      <c r="K18" s="122"/>
      <c r="L18" s="122"/>
      <c r="M18" s="122"/>
      <c r="N18" s="122"/>
      <c r="O18" s="122"/>
      <c r="P18" s="122"/>
      <c r="Q18" s="123"/>
      <c r="Y18" s="263"/>
      <c r="AF18" s="261"/>
      <c r="AI18" s="43"/>
      <c r="AJ18" s="43"/>
      <c r="AK18" s="43"/>
      <c r="AL18" s="43"/>
    </row>
    <row r="19" spans="2:40" customFormat="1" x14ac:dyDescent="0.25">
      <c r="B19" s="124"/>
      <c r="C19" s="125" t="s">
        <v>48</v>
      </c>
      <c r="D19" s="126"/>
      <c r="E19" s="132"/>
      <c r="F19" s="132"/>
      <c r="G19" s="126"/>
      <c r="H19" s="126"/>
      <c r="I19" s="126"/>
      <c r="J19" s="126"/>
      <c r="K19" s="126"/>
      <c r="L19" s="126"/>
      <c r="M19" s="126"/>
      <c r="N19" s="126"/>
      <c r="O19" s="126"/>
      <c r="P19" s="126"/>
      <c r="Q19" s="127"/>
      <c r="Y19" s="263"/>
      <c r="AF19" s="261"/>
      <c r="AI19" s="43"/>
      <c r="AJ19" s="43"/>
      <c r="AK19" s="43"/>
      <c r="AL19" s="43"/>
    </row>
    <row r="20" spans="2:40" customFormat="1" x14ac:dyDescent="0.25">
      <c r="B20" s="171"/>
      <c r="C20" s="153"/>
      <c r="D20" s="153"/>
      <c r="E20" s="130" t="s">
        <v>31</v>
      </c>
      <c r="F20" s="130" t="s">
        <v>184</v>
      </c>
      <c r="G20" s="172"/>
      <c r="H20" s="131"/>
      <c r="I20" s="131"/>
      <c r="J20" s="172"/>
      <c r="K20" s="172"/>
      <c r="L20" s="172"/>
      <c r="M20" s="172"/>
      <c r="N20" s="172"/>
      <c r="O20" s="130"/>
      <c r="P20" s="172"/>
      <c r="Q20" s="173"/>
      <c r="Y20" s="263"/>
      <c r="AF20" s="261"/>
      <c r="AI20" s="43"/>
      <c r="AJ20" s="43"/>
      <c r="AK20" s="43"/>
      <c r="AL20" s="43"/>
    </row>
    <row r="21" spans="2:40" customFormat="1" x14ac:dyDescent="0.25">
      <c r="B21" s="46"/>
      <c r="C21" s="47"/>
      <c r="D21" s="47"/>
      <c r="E21" s="47"/>
      <c r="F21" s="47"/>
      <c r="G21" s="47"/>
      <c r="H21" s="48"/>
      <c r="I21" s="48"/>
      <c r="J21" s="47"/>
      <c r="K21" s="47"/>
      <c r="L21" s="47"/>
      <c r="M21" s="47"/>
      <c r="N21" s="47"/>
      <c r="O21" s="47"/>
      <c r="P21" s="47"/>
      <c r="Q21" s="49"/>
      <c r="Y21" s="332" t="s">
        <v>185</v>
      </c>
      <c r="AF21" s="261"/>
    </row>
    <row r="22" spans="2:40" customFormat="1" x14ac:dyDescent="0.25">
      <c r="B22" s="46"/>
      <c r="C22" s="817" t="s">
        <v>186</v>
      </c>
      <c r="D22" s="47"/>
      <c r="E22" s="481"/>
      <c r="F22" s="531"/>
      <c r="G22" s="47"/>
      <c r="H22" s="48"/>
      <c r="I22" s="48"/>
      <c r="J22" s="47"/>
      <c r="K22" s="47"/>
      <c r="L22" s="47"/>
      <c r="M22" s="47"/>
      <c r="N22" s="63"/>
      <c r="O22" s="63"/>
      <c r="P22" s="63"/>
      <c r="Q22" s="49"/>
      <c r="Y22" s="323" t="e">
        <f>E22*VLOOKUP(F22,massConv[#All],2,FALSE)</f>
        <v>#N/A</v>
      </c>
      <c r="AF22" s="261"/>
    </row>
    <row r="23" spans="2:40" customFormat="1" x14ac:dyDescent="0.25">
      <c r="B23" s="46"/>
      <c r="C23" s="817" t="s">
        <v>187</v>
      </c>
      <c r="D23" s="47"/>
      <c r="E23" s="483"/>
      <c r="F23" s="47"/>
      <c r="G23" s="47"/>
      <c r="H23" s="48"/>
      <c r="I23" s="48"/>
      <c r="J23" s="47"/>
      <c r="K23" s="47"/>
      <c r="L23" s="47"/>
      <c r="M23" s="47"/>
      <c r="N23" s="63"/>
      <c r="O23" s="63"/>
      <c r="P23" s="63"/>
      <c r="Q23" s="49"/>
      <c r="Y23" s="263"/>
      <c r="AF23" s="261"/>
    </row>
    <row r="24" spans="2:40" customFormat="1" ht="15" customHeight="1" x14ac:dyDescent="0.25">
      <c r="B24" s="46"/>
      <c r="C24" s="818" t="s">
        <v>188</v>
      </c>
      <c r="D24" s="47"/>
      <c r="E24" s="1528"/>
      <c r="F24" s="63"/>
      <c r="G24" s="47"/>
      <c r="H24" s="48"/>
      <c r="I24" s="48"/>
      <c r="J24" s="47"/>
      <c r="K24" s="47"/>
      <c r="L24" s="47"/>
      <c r="M24" s="47"/>
      <c r="N24" s="63"/>
      <c r="O24" s="63"/>
      <c r="P24" s="63"/>
      <c r="Q24" s="49"/>
      <c r="Y24" s="263"/>
      <c r="AF24" s="261"/>
      <c r="AI24" s="1886" t="s">
        <v>189</v>
      </c>
      <c r="AJ24" s="1887"/>
      <c r="AK24" s="1887"/>
      <c r="AL24" s="1887"/>
      <c r="AM24" s="1887"/>
      <c r="AN24" s="1887"/>
    </row>
    <row r="25" spans="2:40" customFormat="1" ht="15" customHeight="1" x14ac:dyDescent="0.25">
      <c r="B25" s="46"/>
      <c r="C25" s="818" t="s">
        <v>190</v>
      </c>
      <c r="D25" s="47"/>
      <c r="E25" s="347"/>
      <c r="F25" s="63"/>
      <c r="G25" s="47"/>
      <c r="H25" s="48"/>
      <c r="I25" s="48"/>
      <c r="J25" s="47"/>
      <c r="K25" s="47"/>
      <c r="L25" s="47"/>
      <c r="M25" s="47"/>
      <c r="N25" s="63"/>
      <c r="O25" s="63"/>
      <c r="P25" s="63"/>
      <c r="Q25" s="49"/>
      <c r="Y25" s="263"/>
      <c r="AF25" s="261"/>
      <c r="AI25" s="1886"/>
      <c r="AJ25" s="1887"/>
      <c r="AK25" s="1887"/>
      <c r="AL25" s="1887"/>
      <c r="AM25" s="1887"/>
      <c r="AN25" s="1887"/>
    </row>
    <row r="26" spans="2:40" customFormat="1" ht="15" customHeight="1" x14ac:dyDescent="0.25">
      <c r="B26" s="53"/>
      <c r="C26" s="65"/>
      <c r="D26" s="54"/>
      <c r="E26" s="54"/>
      <c r="F26" s="54"/>
      <c r="G26" s="54"/>
      <c r="H26" s="65"/>
      <c r="I26" s="65"/>
      <c r="J26" s="54"/>
      <c r="K26" s="54"/>
      <c r="L26" s="54"/>
      <c r="M26" s="54"/>
      <c r="N26" s="66"/>
      <c r="O26" s="67"/>
      <c r="P26" s="67"/>
      <c r="Q26" s="55"/>
      <c r="Y26" s="263"/>
      <c r="AF26" s="261"/>
      <c r="AI26" s="1885" t="s">
        <v>191</v>
      </c>
      <c r="AJ26" s="1885" t="s">
        <v>192</v>
      </c>
      <c r="AK26" s="1885" t="s">
        <v>193</v>
      </c>
      <c r="AL26" s="1885" t="s">
        <v>194</v>
      </c>
      <c r="AM26" s="1885" t="s">
        <v>195</v>
      </c>
      <c r="AN26" s="1885" t="s">
        <v>196</v>
      </c>
    </row>
    <row r="27" spans="2:40" s="70" customFormat="1" ht="15.65" customHeight="1" x14ac:dyDescent="0.25">
      <c r="B27" s="56"/>
      <c r="C27" s="56"/>
      <c r="D27" s="56"/>
      <c r="E27" s="56"/>
      <c r="F27" s="56"/>
      <c r="G27" s="56"/>
      <c r="H27" s="68"/>
      <c r="I27" s="68"/>
      <c r="J27" s="56"/>
      <c r="K27" s="56"/>
      <c r="L27" s="56"/>
      <c r="M27" s="56"/>
      <c r="N27" s="69"/>
      <c r="O27" s="56"/>
      <c r="P27" s="56"/>
      <c r="Q27" s="56"/>
      <c r="Y27" s="219"/>
      <c r="Z27" s="68"/>
      <c r="AA27" s="68"/>
      <c r="AB27" s="68"/>
      <c r="AC27" s="68"/>
      <c r="AD27" s="68"/>
      <c r="AE27" s="68"/>
      <c r="AF27" s="220"/>
      <c r="AI27" s="1885"/>
      <c r="AJ27" s="1885"/>
      <c r="AK27" s="1885"/>
      <c r="AL27" s="1885"/>
      <c r="AM27" s="1885"/>
      <c r="AN27" s="1885"/>
    </row>
    <row r="28" spans="2:40" ht="15.65" customHeight="1" x14ac:dyDescent="0.25">
      <c r="B28" s="121"/>
      <c r="C28" s="122"/>
      <c r="D28" s="122"/>
      <c r="E28" s="122"/>
      <c r="F28" s="122"/>
      <c r="G28" s="122"/>
      <c r="H28" s="122"/>
      <c r="I28" s="122"/>
      <c r="J28" s="122"/>
      <c r="K28" s="122"/>
      <c r="L28" s="122"/>
      <c r="M28" s="122"/>
      <c r="N28" s="122"/>
      <c r="O28" s="122"/>
      <c r="P28" s="122"/>
      <c r="Q28" s="123"/>
      <c r="Y28" s="217"/>
      <c r="Z28" s="91"/>
      <c r="AA28" s="91"/>
      <c r="AB28" s="91"/>
      <c r="AC28" s="91"/>
      <c r="AD28" s="91"/>
      <c r="AE28" s="91"/>
      <c r="AF28" s="218"/>
      <c r="AI28" s="274"/>
      <c r="AJ28" s="104"/>
      <c r="AK28" s="104"/>
      <c r="AL28" s="104"/>
      <c r="AM28" s="104"/>
      <c r="AN28" s="278"/>
    </row>
    <row r="29" spans="2:40" ht="15.65" customHeight="1" x14ac:dyDescent="0.25">
      <c r="B29" s="124"/>
      <c r="C29" s="125" t="s">
        <v>1318</v>
      </c>
      <c r="D29" s="126"/>
      <c r="E29" s="126"/>
      <c r="F29" s="126"/>
      <c r="G29" s="126"/>
      <c r="H29" s="126"/>
      <c r="I29" s="1879" t="s">
        <v>1327</v>
      </c>
      <c r="J29" s="126"/>
      <c r="K29" s="126"/>
      <c r="L29" s="126"/>
      <c r="M29" s="126"/>
      <c r="N29" s="126"/>
      <c r="O29" s="126"/>
      <c r="P29" s="126"/>
      <c r="Q29" s="127"/>
      <c r="Y29" s="217"/>
      <c r="Z29" s="91"/>
      <c r="AA29" s="91"/>
      <c r="AB29" s="91"/>
      <c r="AC29" s="91"/>
      <c r="AD29" s="91"/>
      <c r="AE29" s="91"/>
      <c r="AF29" s="218"/>
      <c r="AI29" s="217"/>
      <c r="AJ29" s="91"/>
      <c r="AK29" s="91"/>
      <c r="AL29" s="91"/>
      <c r="AM29" s="91"/>
      <c r="AN29" s="218"/>
    </row>
    <row r="30" spans="2:40" ht="15.65" customHeight="1" x14ac:dyDescent="0.25">
      <c r="B30" s="171"/>
      <c r="C30" s="153"/>
      <c r="D30" s="153"/>
      <c r="E30" s="130" t="s">
        <v>198</v>
      </c>
      <c r="F30" s="130" t="s">
        <v>199</v>
      </c>
      <c r="G30" s="130" t="s">
        <v>200</v>
      </c>
      <c r="H30" s="130" t="s">
        <v>184</v>
      </c>
      <c r="I30" s="1880"/>
      <c r="J30" s="338" t="s">
        <v>201</v>
      </c>
      <c r="K30" s="153"/>
      <c r="L30" s="153"/>
      <c r="M30" s="153"/>
      <c r="N30" s="153"/>
      <c r="O30" s="130" t="s">
        <v>82</v>
      </c>
      <c r="P30" s="153"/>
      <c r="Q30" s="174"/>
      <c r="Y30" s="282" t="s">
        <v>202</v>
      </c>
      <c r="Z30" s="283" t="s">
        <v>203</v>
      </c>
      <c r="AA30" s="283" t="s">
        <v>204</v>
      </c>
      <c r="AB30" s="283" t="s">
        <v>205</v>
      </c>
      <c r="AC30" s="283" t="s">
        <v>206</v>
      </c>
      <c r="AD30" s="283" t="s">
        <v>207</v>
      </c>
      <c r="AE30" s="291" t="s">
        <v>208</v>
      </c>
      <c r="AF30" s="218"/>
      <c r="AI30" s="217"/>
      <c r="AJ30" s="91"/>
      <c r="AK30" s="91"/>
      <c r="AL30" s="91"/>
      <c r="AM30" s="91"/>
      <c r="AN30" s="218"/>
    </row>
    <row r="31" spans="2:40" ht="15.65" customHeight="1" x14ac:dyDescent="0.25">
      <c r="B31" s="46"/>
      <c r="C31" s="47"/>
      <c r="D31" s="47"/>
      <c r="E31" s="47"/>
      <c r="F31" s="47"/>
      <c r="G31" s="47"/>
      <c r="H31" s="47"/>
      <c r="I31" s="79"/>
      <c r="J31" s="52"/>
      <c r="K31" s="47"/>
      <c r="L31" s="47"/>
      <c r="M31" s="47"/>
      <c r="N31" s="896"/>
      <c r="O31" s="895" t="s">
        <v>209</v>
      </c>
      <c r="P31" s="898"/>
      <c r="Q31" s="148"/>
      <c r="Y31" s="282" t="s">
        <v>210</v>
      </c>
      <c r="Z31" s="283" t="s">
        <v>210</v>
      </c>
      <c r="AA31" s="283" t="s">
        <v>210</v>
      </c>
      <c r="AB31" s="283" t="s">
        <v>128</v>
      </c>
      <c r="AC31" s="340" t="s">
        <v>211</v>
      </c>
      <c r="AD31" s="283" t="s">
        <v>84</v>
      </c>
      <c r="AE31" s="291" t="s">
        <v>212</v>
      </c>
      <c r="AF31" s="218"/>
      <c r="AI31" s="217"/>
      <c r="AJ31" s="91"/>
      <c r="AK31" s="91"/>
      <c r="AL31" s="91"/>
      <c r="AM31" s="91"/>
      <c r="AN31" s="218"/>
    </row>
    <row r="32" spans="2:40" ht="15.65" customHeight="1" x14ac:dyDescent="0.25">
      <c r="B32" s="46"/>
      <c r="C32" s="63" t="s">
        <v>213</v>
      </c>
      <c r="D32" s="47"/>
      <c r="E32" s="1045"/>
      <c r="F32" s="1044"/>
      <c r="G32" s="348"/>
      <c r="H32" s="349"/>
      <c r="I32" s="949"/>
      <c r="J32" s="798"/>
      <c r="K32" s="87"/>
      <c r="L32" s="48"/>
      <c r="M32" s="48"/>
      <c r="N32" s="106"/>
      <c r="O32" s="107">
        <f>IF(AND(F32="",G32="",H32="",I32=""),0,IFERROR(AA32*AB32+AD32*'Key Values'!$C$149,'Hidden Lists and Summaries'!$C$158))</f>
        <v>0</v>
      </c>
      <c r="P32" s="107" t="s">
        <v>90</v>
      </c>
      <c r="Q32" s="148"/>
      <c r="Y32" s="506" t="e">
        <f>IF(OR(($F32='Key Values'!$B$26),($F32='Key Values'!$B$27),($F32='Key Values'!$B$24)),0,VLOOKUP(iq_location,TapWaterEmbodiedEmissions[#All],2,FALSE))</f>
        <v>#N/A</v>
      </c>
      <c r="Z32" s="485" t="e">
        <f>VLOOKUP(F32,WaterEmbodiedEmissions[#All],2,FALSE)</f>
        <v>#N/A</v>
      </c>
      <c r="AA32" s="484" t="e">
        <f>IF(I32&lt;&gt;"",I32/VLOOKUP(H32,Table13[#All], 2, FALSE),Y32+IFERROR(Z32*1,0))</f>
        <v>#N/A</v>
      </c>
      <c r="AB32" s="310" t="e">
        <f>VLOOKUP(H32,Table13[#All], 2, FALSE)*G32</f>
        <v>#N/A</v>
      </c>
      <c r="AC32" s="91" cm="1">
        <f t="array" ref="AC32">IF(OR(($F32='Key Values'!$B$26),($F32='Key Values'!$B$27)),PumpedWaterSupplyCosts[Pumping to Site (kWh/m3/km)],0)</f>
        <v>0</v>
      </c>
      <c r="AD32" s="91" t="e">
        <f>AE32*AC32*J32</f>
        <v>#N/A</v>
      </c>
      <c r="AE32" s="218" t="e">
        <f>G32*VLOOKUP(H32,Table13[#All],3,FALSE)</f>
        <v>#N/A</v>
      </c>
      <c r="AF32" s="218"/>
      <c r="AI32" s="217"/>
      <c r="AJ32" s="91">
        <f>O32</f>
        <v>0</v>
      </c>
      <c r="AK32" s="91"/>
      <c r="AL32" s="91" t="str">
        <f>'Hidden Lists and Summaries'!$B$5</f>
        <v>Embodied (Upstream)</v>
      </c>
      <c r="AM32" s="91"/>
      <c r="AN32" s="218" t="s">
        <v>214</v>
      </c>
    </row>
    <row r="33" spans="2:40" ht="15.65" customHeight="1" x14ac:dyDescent="0.25">
      <c r="B33" s="46"/>
      <c r="C33" s="63" t="s">
        <v>215</v>
      </c>
      <c r="D33" s="47"/>
      <c r="E33" s="1046"/>
      <c r="F33" s="1047"/>
      <c r="G33" s="350"/>
      <c r="H33" s="351"/>
      <c r="I33" s="951"/>
      <c r="J33" s="798"/>
      <c r="K33" s="87"/>
      <c r="L33" s="48"/>
      <c r="M33" s="48"/>
      <c r="N33" s="106"/>
      <c r="O33" s="107">
        <f>IF(AND(F33="",G33="",H33="",I33=""),0,IFERROR(AA33*AB33+AD33*'Key Values'!$C$149,'Hidden Lists and Summaries'!$C$158))</f>
        <v>0</v>
      </c>
      <c r="P33" s="108" t="s">
        <v>90</v>
      </c>
      <c r="Q33" s="49"/>
      <c r="Y33" s="507" t="e">
        <f>IF(OR(($F33='Key Values'!$B$26),($F33='Key Values'!$B$27),($F33='Key Values'!$B$24)),0,VLOOKUP(iq_location,TapWaterEmbodiedEmissions[#All],2,FALSE))</f>
        <v>#N/A</v>
      </c>
      <c r="Z33" s="484" t="e">
        <f>VLOOKUP(F33,WaterEmbodiedEmissions[#All],2,FALSE)</f>
        <v>#N/A</v>
      </c>
      <c r="AA33" s="484" t="e">
        <f>IF(I33&lt;&gt;"",I33/VLOOKUP(H33,Table13[#All], 2, FALSE),Y33+IFERROR(Z33*1,0))</f>
        <v>#N/A</v>
      </c>
      <c r="AB33" s="284" t="e">
        <f>VLOOKUP(H33,Table13[#All], 2, FALSE)*G33</f>
        <v>#N/A</v>
      </c>
      <c r="AC33" s="91" cm="1">
        <f t="array" ref="AC33">IF(OR(($F33='Key Values'!$B$26),($F33='Key Values'!$B$27)),PumpedWaterSupplyCosts[Pumping to Site (kWh/m3/km)],0)</f>
        <v>0</v>
      </c>
      <c r="AD33" s="91" t="e">
        <f>AE33*AC33*J33</f>
        <v>#N/A</v>
      </c>
      <c r="AE33" s="218" t="e">
        <f>G33*VLOOKUP(H33,Table13[#All],3,FALSE)</f>
        <v>#N/A</v>
      </c>
      <c r="AF33" s="218"/>
      <c r="AI33" s="217"/>
      <c r="AJ33" s="91"/>
      <c r="AK33" s="91"/>
      <c r="AL33" s="91"/>
      <c r="AM33" s="91"/>
      <c r="AN33" s="218"/>
    </row>
    <row r="34" spans="2:40" ht="15.65" customHeight="1" x14ac:dyDescent="0.25">
      <c r="B34" s="46"/>
      <c r="C34" s="63" t="s">
        <v>216</v>
      </c>
      <c r="D34" s="47"/>
      <c r="E34" s="1048"/>
      <c r="F34" s="1049"/>
      <c r="G34" s="352"/>
      <c r="H34" s="352"/>
      <c r="I34" s="950"/>
      <c r="J34" s="798"/>
      <c r="K34" s="87"/>
      <c r="L34" s="48"/>
      <c r="M34" s="48"/>
      <c r="N34" s="106"/>
      <c r="O34" s="107">
        <f>IF(AND(F34="",G34="",H34="",I34=""),0,IFERROR(AA34*AB34+AD34*'Key Values'!$C$149,'Hidden Lists and Summaries'!$C$158))</f>
        <v>0</v>
      </c>
      <c r="P34" s="108" t="s">
        <v>90</v>
      </c>
      <c r="Q34" s="49"/>
      <c r="Y34" s="507" t="e">
        <f>IF(OR(($F34='Key Values'!$B$26),($F34='Key Values'!$B$27),($F34='Key Values'!$B$24)),0,VLOOKUP(iq_location,TapWaterEmbodiedEmissions[#All],2,FALSE))</f>
        <v>#N/A</v>
      </c>
      <c r="Z34" s="508" t="e">
        <f>VLOOKUP(F34,WaterEmbodiedEmissions[#All],2,FALSE)</f>
        <v>#N/A</v>
      </c>
      <c r="AA34" s="484" t="e">
        <f>IF(I34&lt;&gt;"",I34/VLOOKUP(H34,Table13[#All], 2, FALSE),Y34+IFERROR(Z34*1,0))</f>
        <v>#N/A</v>
      </c>
      <c r="AB34" s="325" t="e">
        <f>VLOOKUP(H34,Table13[#All], 2, FALSE)*G34</f>
        <v>#N/A</v>
      </c>
      <c r="AC34" s="185" cm="1">
        <f t="array" ref="AC34">IF(OR(($F34='Key Values'!$B$26),($F34='Key Values'!$B$27)),PumpedWaterSupplyCosts[Pumping to Site (kWh/m3/km)],0)</f>
        <v>0</v>
      </c>
      <c r="AD34" s="185" t="e">
        <f>AE34*AC34*J34</f>
        <v>#N/A</v>
      </c>
      <c r="AE34" s="225" t="e">
        <f>G34*VLOOKUP(H34,Table13[#All],3,FALSE)</f>
        <v>#N/A</v>
      </c>
      <c r="AF34" s="218"/>
      <c r="AI34" s="217"/>
      <c r="AJ34" s="91"/>
      <c r="AK34" s="91"/>
      <c r="AL34" s="91"/>
      <c r="AM34" s="91"/>
      <c r="AN34" s="218"/>
    </row>
    <row r="35" spans="2:40" ht="15.65" customHeight="1" x14ac:dyDescent="0.25">
      <c r="B35" s="53"/>
      <c r="C35" s="54"/>
      <c r="D35" s="54"/>
      <c r="E35" s="54"/>
      <c r="F35" s="54"/>
      <c r="G35" s="54"/>
      <c r="H35" s="65"/>
      <c r="I35" s="65"/>
      <c r="J35" s="54"/>
      <c r="K35" s="54"/>
      <c r="L35" s="54"/>
      <c r="M35" s="54"/>
      <c r="N35" s="109" t="s">
        <v>120</v>
      </c>
      <c r="O35" s="72">
        <f>SUM(O32:O34)</f>
        <v>0</v>
      </c>
      <c r="P35" s="110" t="s">
        <v>90</v>
      </c>
      <c r="Q35" s="55"/>
      <c r="Y35" s="274"/>
      <c r="Z35" s="91"/>
      <c r="AA35" s="104"/>
      <c r="AB35" s="91"/>
      <c r="AC35" s="91"/>
      <c r="AD35" s="91"/>
      <c r="AE35" s="104"/>
      <c r="AF35" s="218"/>
      <c r="AI35" s="217"/>
      <c r="AJ35" s="91">
        <f>SUM(O33:O34)</f>
        <v>0</v>
      </c>
      <c r="AK35" s="91"/>
      <c r="AL35" s="91" t="str">
        <f>'Hidden Lists and Summaries'!$B$5</f>
        <v>Embodied (Upstream)</v>
      </c>
      <c r="AM35" s="91"/>
      <c r="AN35" s="218" t="s">
        <v>214</v>
      </c>
    </row>
    <row r="36" spans="2:40" ht="15.65" customHeight="1" x14ac:dyDescent="0.25">
      <c r="B36" s="71"/>
      <c r="C36" s="71"/>
      <c r="D36" s="71"/>
      <c r="E36" s="71"/>
      <c r="F36" s="71"/>
      <c r="G36" s="71"/>
      <c r="H36" s="71"/>
      <c r="I36" s="71"/>
      <c r="J36" s="71"/>
      <c r="K36" s="71"/>
      <c r="L36" s="71"/>
      <c r="M36" s="71"/>
      <c r="N36" s="71"/>
      <c r="O36" s="71"/>
      <c r="P36" s="71"/>
      <c r="Q36" s="71"/>
      <c r="Y36" s="217"/>
      <c r="Z36" s="91"/>
      <c r="AA36" s="91"/>
      <c r="AB36" s="91"/>
      <c r="AC36" s="91"/>
      <c r="AD36" s="91"/>
      <c r="AE36" s="91"/>
      <c r="AF36" s="218"/>
      <c r="AI36" s="217"/>
      <c r="AJ36" s="91"/>
      <c r="AK36" s="91"/>
      <c r="AL36" s="91"/>
      <c r="AM36" s="91"/>
      <c r="AN36" s="218"/>
    </row>
    <row r="37" spans="2:40" ht="15.65" customHeight="1" x14ac:dyDescent="0.25">
      <c r="B37" s="121"/>
      <c r="C37" s="122"/>
      <c r="D37" s="122"/>
      <c r="E37" s="122"/>
      <c r="F37" s="169" t="s">
        <v>1334</v>
      </c>
      <c r="G37" s="122"/>
      <c r="H37" s="122"/>
      <c r="I37" s="122"/>
      <c r="J37" s="122"/>
      <c r="K37" s="122"/>
      <c r="L37" s="122"/>
      <c r="M37" s="122"/>
      <c r="N37" s="122"/>
      <c r="O37" s="122"/>
      <c r="P37" s="122"/>
      <c r="Q37" s="123"/>
      <c r="Y37" s="217"/>
      <c r="Z37" s="91"/>
      <c r="AA37" s="91"/>
      <c r="AB37" s="91"/>
      <c r="AC37" s="91"/>
      <c r="AD37" s="91"/>
      <c r="AE37" s="91"/>
      <c r="AF37" s="218"/>
      <c r="AI37" s="217"/>
      <c r="AJ37" s="91"/>
      <c r="AK37" s="91"/>
      <c r="AL37" s="91"/>
      <c r="AM37" s="91"/>
      <c r="AN37" s="218"/>
    </row>
    <row r="38" spans="2:40" ht="15.65" customHeight="1" x14ac:dyDescent="0.25">
      <c r="B38" s="124"/>
      <c r="C38" s="125" t="s">
        <v>1317</v>
      </c>
      <c r="D38" s="144"/>
      <c r="E38" s="144"/>
      <c r="F38" s="144"/>
      <c r="G38" s="144"/>
      <c r="H38" s="1879" t="s">
        <v>1327</v>
      </c>
      <c r="I38" s="129"/>
      <c r="J38" s="129"/>
      <c r="K38" s="144"/>
      <c r="L38" s="144"/>
      <c r="M38" s="144"/>
      <c r="N38" s="144"/>
      <c r="O38" s="144"/>
      <c r="P38" s="144"/>
      <c r="Q38" s="127"/>
      <c r="Y38" s="217"/>
      <c r="Z38" s="91"/>
      <c r="AA38" s="91"/>
      <c r="AB38" s="91"/>
      <c r="AC38" s="91"/>
      <c r="AD38" s="91"/>
      <c r="AE38" s="91"/>
      <c r="AF38" s="218"/>
      <c r="AI38" s="217"/>
      <c r="AJ38" s="91"/>
      <c r="AK38" s="91"/>
      <c r="AL38" s="91"/>
      <c r="AM38" s="91"/>
      <c r="AN38" s="218"/>
    </row>
    <row r="39" spans="2:40" ht="15.65" customHeight="1" x14ac:dyDescent="0.25">
      <c r="B39" s="171"/>
      <c r="C39" s="153"/>
      <c r="D39" s="153"/>
      <c r="E39" s="130" t="s">
        <v>218</v>
      </c>
      <c r="F39" s="130" t="s">
        <v>200</v>
      </c>
      <c r="G39" s="130" t="s">
        <v>184</v>
      </c>
      <c r="H39" s="1880"/>
      <c r="I39" s="131" t="s">
        <v>201</v>
      </c>
      <c r="J39" s="175"/>
      <c r="K39" s="153"/>
      <c r="L39" s="153"/>
      <c r="M39" s="153"/>
      <c r="N39" s="153"/>
      <c r="O39" s="130" t="s">
        <v>82</v>
      </c>
      <c r="P39" s="153"/>
      <c r="Q39" s="174"/>
      <c r="Y39" s="285" t="s">
        <v>219</v>
      </c>
      <c r="Z39" s="73" t="s">
        <v>206</v>
      </c>
      <c r="AA39" s="283" t="s">
        <v>220</v>
      </c>
      <c r="AB39" s="283" t="s">
        <v>221</v>
      </c>
      <c r="AC39" s="283" t="s">
        <v>222</v>
      </c>
      <c r="AD39" s="91"/>
      <c r="AE39" s="91"/>
      <c r="AF39" s="218"/>
      <c r="AI39" s="217"/>
      <c r="AJ39" s="91"/>
      <c r="AK39" s="91"/>
      <c r="AL39" s="91"/>
      <c r="AM39" s="91"/>
      <c r="AN39" s="218"/>
    </row>
    <row r="40" spans="2:40" ht="15.65" customHeight="1" x14ac:dyDescent="0.25">
      <c r="B40" s="46"/>
      <c r="C40" s="47"/>
      <c r="D40" s="47"/>
      <c r="E40" s="47"/>
      <c r="F40" s="47"/>
      <c r="G40" s="47"/>
      <c r="H40" s="48"/>
      <c r="I40" s="48"/>
      <c r="J40" s="63"/>
      <c r="K40" s="63"/>
      <c r="L40" s="63"/>
      <c r="M40" s="63"/>
      <c r="N40" s="896"/>
      <c r="O40" s="895" t="s">
        <v>209</v>
      </c>
      <c r="P40" s="105"/>
      <c r="Q40" s="49"/>
      <c r="Y40" s="286" t="s">
        <v>223</v>
      </c>
      <c r="Z40" s="74" t="s">
        <v>211</v>
      </c>
      <c r="AA40" s="283" t="s">
        <v>84</v>
      </c>
      <c r="AB40" s="287"/>
      <c r="AC40" s="283" t="s">
        <v>224</v>
      </c>
      <c r="AD40" s="91"/>
      <c r="AE40" s="91"/>
      <c r="AF40" s="218"/>
      <c r="AI40" s="217"/>
      <c r="AJ40" s="91"/>
      <c r="AK40" s="91"/>
      <c r="AL40" s="91"/>
      <c r="AM40" s="91"/>
      <c r="AN40" s="218"/>
    </row>
    <row r="41" spans="2:40" ht="15.65" customHeight="1" x14ac:dyDescent="0.25">
      <c r="B41" s="46"/>
      <c r="C41" s="63" t="s">
        <v>225</v>
      </c>
      <c r="D41" s="47"/>
      <c r="E41" s="853"/>
      <c r="F41" s="425"/>
      <c r="G41" s="424"/>
      <c r="H41" s="1064"/>
      <c r="I41" s="953"/>
      <c r="J41" s="1065"/>
      <c r="K41" s="63"/>
      <c r="L41" s="63"/>
      <c r="M41" s="63"/>
      <c r="N41" s="106"/>
      <c r="O41" s="107">
        <f>IF(AND(F41="",G41="",I41=""),0,IFERROR(IF(H41&lt;&gt;"",AC41*AB41,AA41*'Key Values'!$C$149),'Hidden Lists and Summaries'!$C$158))</f>
        <v>0</v>
      </c>
      <c r="P41" s="897" t="s">
        <v>90</v>
      </c>
      <c r="Q41" s="49"/>
      <c r="Y41" s="854">
        <f>'Key Values'!$C$31</f>
        <v>9.2999999999999999E-2</v>
      </c>
      <c r="Z41" s="509">
        <f>'Key Values'!$D$31</f>
        <v>3.6700000000000003E-2</v>
      </c>
      <c r="AA41" s="104" t="e">
        <f>AB41*Y41+AB41*I41*Z41</f>
        <v>#N/A</v>
      </c>
      <c r="AB41" s="310" t="e">
        <f>VLOOKUP(G41,Table13[#All], 3, FALSE)*F41</f>
        <v>#N/A</v>
      </c>
      <c r="AC41" s="902" t="e">
        <f>1/VLOOKUP(G41,Table13[#All], 3, FALSE)*H41</f>
        <v>#N/A</v>
      </c>
      <c r="AD41" s="91"/>
      <c r="AE41" s="91"/>
      <c r="AF41" s="218"/>
      <c r="AI41" s="217"/>
      <c r="AJ41" s="91"/>
      <c r="AK41" s="91"/>
      <c r="AL41" s="91"/>
      <c r="AM41" s="91"/>
      <c r="AN41" s="218"/>
    </row>
    <row r="42" spans="2:40" ht="15.65" customHeight="1" x14ac:dyDescent="0.25">
      <c r="B42" s="46"/>
      <c r="C42" s="63" t="s">
        <v>226</v>
      </c>
      <c r="D42" s="47"/>
      <c r="E42" s="852"/>
      <c r="F42" s="561"/>
      <c r="G42" s="561"/>
      <c r="H42" s="1066"/>
      <c r="I42" s="952"/>
      <c r="J42" s="1065"/>
      <c r="K42" s="63"/>
      <c r="L42" s="63"/>
      <c r="M42" s="63"/>
      <c r="N42" s="106"/>
      <c r="O42" s="339">
        <f>IF(AND(F42="",G42="",I42=""),0,IFERROR(IF(H42&lt;&gt;"",AC42*AB42,AA42*'Key Values'!$C$149),'Hidden Lists and Summaries'!$C$158))</f>
        <v>0</v>
      </c>
      <c r="P42" s="108" t="s">
        <v>90</v>
      </c>
      <c r="Q42" s="49"/>
      <c r="Y42" s="855">
        <f>'Key Values'!$C$31</f>
        <v>9.2999999999999999E-2</v>
      </c>
      <c r="Z42" s="511">
        <f>'Key Values'!$D$31</f>
        <v>3.6700000000000003E-2</v>
      </c>
      <c r="AA42" s="185" t="e">
        <f>AB42*Y42+AB42*I42*Z42</f>
        <v>#N/A</v>
      </c>
      <c r="AB42" s="325" t="e">
        <f>VLOOKUP(G42,Table13[#All], 3, FALSE)*F42</f>
        <v>#N/A</v>
      </c>
      <c r="AC42" s="903" t="e">
        <f>1/VLOOKUP(G42,Table13[#All], 3, FALSE)*H42</f>
        <v>#N/A</v>
      </c>
      <c r="AD42" s="91"/>
      <c r="AE42" s="91"/>
      <c r="AF42" s="218"/>
      <c r="AI42" s="217"/>
      <c r="AJ42" s="91">
        <f>O41</f>
        <v>0</v>
      </c>
      <c r="AK42" s="91"/>
      <c r="AL42" s="91" t="str">
        <f>'Hidden Lists and Summaries'!$B$5</f>
        <v>Embodied (Upstream)</v>
      </c>
      <c r="AM42" s="91"/>
      <c r="AN42" s="218" t="s">
        <v>214</v>
      </c>
    </row>
    <row r="43" spans="2:40" ht="15.65" customHeight="1" x14ac:dyDescent="0.25">
      <c r="B43" s="53"/>
      <c r="C43" s="54"/>
      <c r="D43" s="54"/>
      <c r="E43" s="54"/>
      <c r="F43" s="54"/>
      <c r="G43" s="54"/>
      <c r="H43" s="61"/>
      <c r="I43" s="65"/>
      <c r="J43" s="61"/>
      <c r="K43" s="61"/>
      <c r="L43" s="61"/>
      <c r="M43" s="61"/>
      <c r="N43" s="109" t="s">
        <v>120</v>
      </c>
      <c r="O43" s="72">
        <f>SUM(O41:O42)</f>
        <v>0</v>
      </c>
      <c r="P43" s="110" t="s">
        <v>90</v>
      </c>
      <c r="Q43" s="55"/>
      <c r="AA43" s="43" cm="1">
        <f t="array" ref="AA43">SUM(IFERROR(AA41:AA42,0))</f>
        <v>0</v>
      </c>
      <c r="AB43" s="43" cm="1">
        <f t="array" ref="AB43">SUM(IFERROR(AB41:AB42,0))</f>
        <v>0</v>
      </c>
      <c r="AC43" s="901"/>
      <c r="AD43" s="91"/>
      <c r="AE43" s="91"/>
      <c r="AF43" s="218"/>
      <c r="AI43" s="217"/>
      <c r="AJ43" s="91">
        <f>O42</f>
        <v>0</v>
      </c>
      <c r="AK43" s="91"/>
      <c r="AL43" s="91" t="str">
        <f>'Hidden Lists and Summaries'!$B$5</f>
        <v>Embodied (Upstream)</v>
      </c>
      <c r="AM43" s="91"/>
      <c r="AN43" s="218" t="s">
        <v>214</v>
      </c>
    </row>
    <row r="44" spans="2:40" ht="15.65" customHeight="1" x14ac:dyDescent="0.25">
      <c r="B44" s="71"/>
      <c r="C44" s="71"/>
      <c r="D44" s="71"/>
      <c r="E44" s="71"/>
      <c r="F44" s="71"/>
      <c r="G44" s="71"/>
      <c r="H44" s="71"/>
      <c r="I44" s="71"/>
      <c r="J44" s="71"/>
      <c r="K44" s="71"/>
      <c r="L44" s="71"/>
      <c r="M44" s="71"/>
      <c r="N44" s="71"/>
      <c r="O44" s="71"/>
      <c r="P44" s="71"/>
      <c r="Q44" s="71"/>
      <c r="Y44" s="217"/>
      <c r="Z44" s="91"/>
      <c r="AA44" s="91"/>
      <c r="AB44" s="91"/>
      <c r="AC44" s="91"/>
      <c r="AD44" s="91"/>
      <c r="AE44" s="91"/>
      <c r="AF44" s="218"/>
      <c r="AI44" s="217"/>
      <c r="AJ44" s="91"/>
      <c r="AK44" s="91"/>
      <c r="AL44" s="91"/>
      <c r="AM44" s="91"/>
      <c r="AN44" s="218"/>
    </row>
    <row r="45" spans="2:40" ht="15.65" customHeight="1" x14ac:dyDescent="0.25">
      <c r="B45" s="121"/>
      <c r="C45" s="122"/>
      <c r="D45" s="122"/>
      <c r="E45" s="122"/>
      <c r="F45" s="122"/>
      <c r="G45" s="122"/>
      <c r="H45" s="122"/>
      <c r="I45" s="122"/>
      <c r="J45" s="122"/>
      <c r="K45" s="122"/>
      <c r="L45" s="122"/>
      <c r="M45" s="122"/>
      <c r="N45" s="122"/>
      <c r="O45" s="122"/>
      <c r="P45" s="122"/>
      <c r="Q45" s="123"/>
      <c r="Y45" s="217"/>
      <c r="Z45" s="91"/>
      <c r="AA45" s="91"/>
      <c r="AB45" s="91"/>
      <c r="AC45" s="91"/>
      <c r="AD45" s="91"/>
      <c r="AE45" s="91"/>
      <c r="AF45" s="218"/>
      <c r="AI45" s="217"/>
      <c r="AJ45" s="91"/>
      <c r="AK45" s="91"/>
      <c r="AL45" s="91"/>
      <c r="AM45" s="91"/>
      <c r="AN45" s="218"/>
    </row>
    <row r="46" spans="2:40" ht="15" customHeight="1" x14ac:dyDescent="0.25">
      <c r="B46" s="124"/>
      <c r="C46" s="125" t="s">
        <v>1315</v>
      </c>
      <c r="D46" s="126"/>
      <c r="E46" s="126"/>
      <c r="F46" s="126"/>
      <c r="G46" s="126"/>
      <c r="H46" s="126"/>
      <c r="I46" s="126"/>
      <c r="J46" s="126"/>
      <c r="K46" s="126"/>
      <c r="L46" s="126"/>
      <c r="M46" s="126"/>
      <c r="N46" s="126"/>
      <c r="O46" s="126"/>
      <c r="P46" s="126"/>
      <c r="Q46" s="127"/>
      <c r="Y46" s="217"/>
      <c r="Z46" s="91"/>
      <c r="AA46" s="91"/>
      <c r="AB46" s="91"/>
      <c r="AC46" s="91"/>
      <c r="AD46" s="91"/>
      <c r="AE46" s="91"/>
      <c r="AF46" s="218"/>
      <c r="AI46" s="217"/>
      <c r="AJ46" s="91"/>
      <c r="AK46" s="91"/>
      <c r="AL46" s="91"/>
      <c r="AM46" s="91"/>
      <c r="AN46" s="218"/>
    </row>
    <row r="47" spans="2:40" ht="15.65" customHeight="1" x14ac:dyDescent="0.25">
      <c r="B47" s="171"/>
      <c r="C47" s="153"/>
      <c r="D47" s="153"/>
      <c r="E47" s="130" t="s">
        <v>80</v>
      </c>
      <c r="F47" s="130" t="s">
        <v>81</v>
      </c>
      <c r="G47" s="175"/>
      <c r="H47" s="175"/>
      <c r="I47" s="175"/>
      <c r="J47" s="172"/>
      <c r="K47" s="153"/>
      <c r="L47" s="153"/>
      <c r="M47" s="153"/>
      <c r="N47" s="153"/>
      <c r="O47" s="130" t="s">
        <v>82</v>
      </c>
      <c r="P47" s="153"/>
      <c r="Q47" s="174"/>
      <c r="Y47" s="285" t="s">
        <v>228</v>
      </c>
      <c r="Z47" s="285" t="s">
        <v>229</v>
      </c>
      <c r="AA47" s="73" t="s">
        <v>230</v>
      </c>
      <c r="AB47" s="73" t="s">
        <v>231</v>
      </c>
      <c r="AC47" s="73" t="s">
        <v>232</v>
      </c>
      <c r="AD47" s="295" t="s">
        <v>233</v>
      </c>
      <c r="AE47" s="789" t="s">
        <v>234</v>
      </c>
      <c r="AF47" s="218"/>
      <c r="AI47" s="217"/>
      <c r="AJ47" s="91"/>
      <c r="AK47" s="91"/>
      <c r="AL47" s="91"/>
      <c r="AM47" s="91"/>
      <c r="AN47" s="218"/>
    </row>
    <row r="48" spans="2:40" ht="15.65" customHeight="1" x14ac:dyDescent="0.25">
      <c r="B48" s="158"/>
      <c r="C48" s="154"/>
      <c r="D48" s="154"/>
      <c r="E48" s="159"/>
      <c r="F48" s="159"/>
      <c r="G48" s="75"/>
      <c r="H48" s="75"/>
      <c r="I48" s="75"/>
      <c r="J48" s="161"/>
      <c r="K48" s="154"/>
      <c r="L48" s="154"/>
      <c r="M48" s="154"/>
      <c r="N48" s="154"/>
      <c r="O48" s="159"/>
      <c r="P48" s="154"/>
      <c r="Q48" s="170"/>
      <c r="Y48" s="286"/>
      <c r="Z48" s="286" t="s">
        <v>84</v>
      </c>
      <c r="AA48" s="73" t="s">
        <v>84</v>
      </c>
      <c r="AB48" s="74"/>
      <c r="AC48" s="74"/>
      <c r="AD48" s="295"/>
      <c r="AE48" s="789"/>
      <c r="AF48" s="218"/>
      <c r="AI48" s="217"/>
      <c r="AJ48" s="91"/>
      <c r="AK48" s="91"/>
      <c r="AL48" s="91"/>
      <c r="AM48" s="91"/>
      <c r="AN48" s="218"/>
    </row>
    <row r="49" spans="1:40" ht="15.65" customHeight="1" x14ac:dyDescent="0.25">
      <c r="B49" s="46"/>
      <c r="C49" s="815" t="s">
        <v>1313</v>
      </c>
      <c r="D49" s="47"/>
      <c r="E49" s="552"/>
      <c r="F49" s="906" t="s">
        <v>86</v>
      </c>
      <c r="G49" s="1530"/>
      <c r="H49" s="48"/>
      <c r="I49" s="48"/>
      <c r="J49" s="47"/>
      <c r="K49" s="47"/>
      <c r="L49" s="47"/>
      <c r="M49" s="47"/>
      <c r="N49" s="47"/>
      <c r="O49" s="47"/>
      <c r="P49" s="47"/>
      <c r="Q49" s="49"/>
      <c r="Y49" s="554" t="s">
        <v>120</v>
      </c>
      <c r="Z49" s="104">
        <f>E49*VLOOKUP(F49,EnergyConversionTable[],3)</f>
        <v>0</v>
      </c>
      <c r="AA49" s="104"/>
      <c r="AB49" s="278"/>
      <c r="AC49" s="274" t="s">
        <v>236</v>
      </c>
      <c r="AD49" s="553" t="str">
        <f>overall_locationBasedImportEmissions</f>
        <v>Error -  Review inputs</v>
      </c>
      <c r="AE49" s="278">
        <f>AB52</f>
        <v>0</v>
      </c>
      <c r="AF49" s="218"/>
      <c r="AI49" s="217"/>
      <c r="AJ49" s="91"/>
      <c r="AK49" s="91"/>
      <c r="AL49" s="91"/>
      <c r="AM49" s="91"/>
      <c r="AN49" s="218"/>
    </row>
    <row r="50" spans="1:40" x14ac:dyDescent="0.25">
      <c r="B50" s="46"/>
      <c r="C50" s="806" t="s">
        <v>237</v>
      </c>
      <c r="D50" s="47"/>
      <c r="E50" s="548"/>
      <c r="F50" s="907" t="s">
        <v>86</v>
      </c>
      <c r="G50" s="1532" t="str">
        <f>IF('Electricity Usage'!$H$71&gt;1,'Hidden Lists and Summaries'!$D$160,"")</f>
        <v/>
      </c>
      <c r="H50" s="48"/>
      <c r="I50" s="48"/>
      <c r="J50" s="47"/>
      <c r="K50" s="47"/>
      <c r="L50" s="47"/>
      <c r="M50" s="47"/>
      <c r="N50" s="692" t="s">
        <v>236</v>
      </c>
      <c r="O50" s="1836" t="str">
        <f>IFERROR(AD49*AE49,'Hidden Lists and Summaries'!$C$158)</f>
        <v>Error -  Review inputs</v>
      </c>
      <c r="P50" s="105" t="s">
        <v>90</v>
      </c>
      <c r="Q50" s="49"/>
      <c r="Y50" s="555" t="s">
        <v>238</v>
      </c>
      <c r="Z50" s="91">
        <f>E50*VLOOKUP(F50,EnergyConversionTable[],3)</f>
        <v>0</v>
      </c>
      <c r="AA50" s="91"/>
      <c r="AB50" s="218"/>
      <c r="AC50" s="217" t="s">
        <v>239</v>
      </c>
      <c r="AD50" s="499">
        <f>overall_ImportEmissions</f>
        <v>0</v>
      </c>
      <c r="AE50" s="218">
        <f>AB52</f>
        <v>0</v>
      </c>
      <c r="AF50" s="218"/>
      <c r="AI50" s="217"/>
      <c r="AJ50" s="68">
        <f>O51</f>
        <v>0</v>
      </c>
      <c r="AK50" s="68"/>
      <c r="AL50" s="68" t="s">
        <v>240</v>
      </c>
      <c r="AM50" s="91"/>
      <c r="AN50" s="218"/>
    </row>
    <row r="51" spans="1:40" ht="15.65" customHeight="1" x14ac:dyDescent="0.25">
      <c r="B51" s="46"/>
      <c r="C51" s="806"/>
      <c r="D51" s="97"/>
      <c r="E51" s="75"/>
      <c r="F51" s="75"/>
      <c r="G51" s="1530"/>
      <c r="H51" s="48"/>
      <c r="I51" s="48"/>
      <c r="J51" s="48"/>
      <c r="K51" s="48"/>
      <c r="L51" s="47"/>
      <c r="M51" s="47"/>
      <c r="N51" s="106" t="s">
        <v>239</v>
      </c>
      <c r="O51" s="107">
        <f>IFERROR(AD50*AE50,'Hidden Lists and Summaries'!$C$158)</f>
        <v>0</v>
      </c>
      <c r="P51" s="108" t="s">
        <v>90</v>
      </c>
      <c r="Q51" s="49"/>
      <c r="Y51" s="555" t="s">
        <v>241</v>
      </c>
      <c r="Z51" s="91">
        <f>E50*VLOOKUP(F50,EnergyConversionTable[],3)</f>
        <v>0</v>
      </c>
      <c r="AA51" s="91">
        <f>overall_onsiteElecGenRenewables+overall_verifiedRenewableElectricityImported</f>
        <v>0</v>
      </c>
      <c r="AB51" s="218">
        <f>IF(AA51=0,0,Z51/AA51)</f>
        <v>0</v>
      </c>
      <c r="AC51" s="217" t="s">
        <v>242</v>
      </c>
      <c r="AD51" s="499">
        <f>total_embodiedEmissionsCombustionBasedElectricity</f>
        <v>0</v>
      </c>
      <c r="AE51" s="218">
        <f>AB53</f>
        <v>0</v>
      </c>
      <c r="AF51" s="218"/>
      <c r="AI51" s="217"/>
      <c r="AJ51" s="68">
        <f>O52</f>
        <v>0</v>
      </c>
      <c r="AK51" s="68"/>
      <c r="AL51" s="68" t="str">
        <f>'Hidden Lists and Summaries'!$B$5</f>
        <v>Embodied (Upstream)</v>
      </c>
      <c r="AM51" s="91"/>
      <c r="AN51" s="218" t="s">
        <v>243</v>
      </c>
    </row>
    <row r="52" spans="1:40" ht="15.65" customHeight="1" x14ac:dyDescent="0.25">
      <c r="B52" s="46"/>
      <c r="C52" s="805" t="s">
        <v>244</v>
      </c>
      <c r="D52" s="81"/>
      <c r="E52" s="552"/>
      <c r="F52" s="906" t="s">
        <v>86</v>
      </c>
      <c r="G52" s="1532" t="str">
        <f>IF('Electricity Usage'!$E$71&gt;1,'Hidden Lists and Summaries'!$D$157,"")</f>
        <v/>
      </c>
      <c r="H52" s="48"/>
      <c r="I52" s="48"/>
      <c r="J52" s="47"/>
      <c r="K52" s="47"/>
      <c r="L52" s="47"/>
      <c r="M52" s="47"/>
      <c r="N52" s="106" t="s">
        <v>245</v>
      </c>
      <c r="O52" s="107">
        <f>IFERROR(AD51*AE51,'Hidden Lists and Summaries'!$C$158)</f>
        <v>0</v>
      </c>
      <c r="P52" s="108" t="s">
        <v>90</v>
      </c>
      <c r="Q52" s="49"/>
      <c r="Y52" s="555" t="s">
        <v>246</v>
      </c>
      <c r="Z52" s="91">
        <f>E52*VLOOKUP(F52,EnergyConversionTable[],3)</f>
        <v>0</v>
      </c>
      <c r="AA52" s="91">
        <f>overall_totalImportedElectricity</f>
        <v>0</v>
      </c>
      <c r="AB52" s="218">
        <f>IF(AA52=0,0,Z52/AA52)</f>
        <v>0</v>
      </c>
      <c r="AC52" s="224" t="s">
        <v>247</v>
      </c>
      <c r="AD52" s="557">
        <f>total_emissionsCombustionBasedElectricity</f>
        <v>0</v>
      </c>
      <c r="AE52" s="225">
        <f>AB53</f>
        <v>0</v>
      </c>
      <c r="AF52" s="218"/>
      <c r="AI52" s="217"/>
      <c r="AJ52" s="68">
        <f>O53</f>
        <v>0</v>
      </c>
      <c r="AK52" s="68"/>
      <c r="AL52" s="68" t="s">
        <v>248</v>
      </c>
      <c r="AM52" s="91"/>
      <c r="AN52" s="218"/>
    </row>
    <row r="53" spans="1:40" ht="15" customHeight="1" x14ac:dyDescent="0.25">
      <c r="B53" s="46"/>
      <c r="C53" s="1888" t="s">
        <v>1325</v>
      </c>
      <c r="D53" s="47"/>
      <c r="E53" s="548"/>
      <c r="F53" s="907" t="s">
        <v>86</v>
      </c>
      <c r="G53" s="1532" t="str">
        <f>IF('Electricity Usage'!$F$71&gt;1,'Hidden Lists and Summaries'!$D$158,"")</f>
        <v/>
      </c>
      <c r="H53" s="48"/>
      <c r="I53" s="48"/>
      <c r="J53" s="47"/>
      <c r="K53" s="47"/>
      <c r="L53" s="47"/>
      <c r="M53" s="47"/>
      <c r="N53" s="106" t="s">
        <v>250</v>
      </c>
      <c r="O53" s="107">
        <f>IFERROR(AD52*AE52,'Hidden Lists and Summaries'!$C$158)</f>
        <v>0</v>
      </c>
      <c r="P53" s="108" t="s">
        <v>90</v>
      </c>
      <c r="Q53" s="49"/>
      <c r="Y53" s="556" t="s">
        <v>251</v>
      </c>
      <c r="Z53" s="185">
        <f>E53*VLOOKUP(F53,EnergyConversionTable[],3)</f>
        <v>0</v>
      </c>
      <c r="AA53" s="185">
        <f>overall_totalOnsiteCombustionElecGen</f>
        <v>0</v>
      </c>
      <c r="AB53" s="225">
        <f>IF(AA53=0,0,Z53/AA53)</f>
        <v>0</v>
      </c>
      <c r="AC53" s="91"/>
      <c r="AD53" s="91"/>
      <c r="AE53" s="553"/>
      <c r="AF53" s="218"/>
      <c r="AG53" s="91"/>
      <c r="AI53" s="217"/>
      <c r="AJ53" s="68"/>
      <c r="AK53" s="68"/>
      <c r="AL53" s="68"/>
      <c r="AM53" s="91"/>
      <c r="AN53" s="218"/>
    </row>
    <row r="54" spans="1:40" ht="15.65" customHeight="1" x14ac:dyDescent="0.25">
      <c r="B54" s="53"/>
      <c r="C54" s="1889"/>
      <c r="D54" s="54"/>
      <c r="E54" s="54"/>
      <c r="F54" s="54"/>
      <c r="G54" s="54"/>
      <c r="H54" s="65"/>
      <c r="I54" s="65"/>
      <c r="J54" s="54"/>
      <c r="K54" s="54"/>
      <c r="L54" s="54"/>
      <c r="M54" s="54"/>
      <c r="N54" s="109" t="s">
        <v>120</v>
      </c>
      <c r="O54" s="72">
        <f>SUM(O50:O53)</f>
        <v>0</v>
      </c>
      <c r="P54" s="110" t="s">
        <v>90</v>
      </c>
      <c r="Q54" s="55"/>
      <c r="Y54" s="217"/>
      <c r="Z54" s="91"/>
      <c r="AA54" s="91"/>
      <c r="AB54" s="91"/>
      <c r="AC54" s="91"/>
      <c r="AD54" s="91"/>
      <c r="AE54" s="91"/>
      <c r="AF54" s="218"/>
      <c r="AI54" s="217"/>
      <c r="AJ54" s="91"/>
      <c r="AK54" s="91"/>
      <c r="AL54" s="91"/>
      <c r="AM54" s="91"/>
      <c r="AN54" s="218"/>
    </row>
    <row r="55" spans="1:40" ht="15.65" customHeight="1" x14ac:dyDescent="0.25">
      <c r="A55" s="70"/>
      <c r="B55" s="56"/>
      <c r="C55" s="56"/>
      <c r="D55" s="56"/>
      <c r="E55" s="56"/>
      <c r="F55" s="56"/>
      <c r="G55" s="56"/>
      <c r="H55" s="68"/>
      <c r="I55" s="68"/>
      <c r="J55" s="56"/>
      <c r="K55" s="56"/>
      <c r="L55" s="56"/>
      <c r="M55" s="56"/>
      <c r="N55" s="70"/>
      <c r="O55" s="70"/>
      <c r="P55" s="68"/>
      <c r="Q55" s="56"/>
      <c r="Y55" s="217"/>
      <c r="Z55" s="91"/>
      <c r="AA55" s="91"/>
      <c r="AB55" s="91"/>
      <c r="AC55" s="91"/>
      <c r="AD55" s="91"/>
      <c r="AE55" s="91"/>
      <c r="AF55" s="218"/>
      <c r="AI55" s="217"/>
      <c r="AJ55" s="91"/>
      <c r="AK55" s="91"/>
      <c r="AL55" s="91"/>
      <c r="AM55" s="91"/>
      <c r="AN55" s="218"/>
    </row>
    <row r="56" spans="1:40" ht="15.65" customHeight="1" x14ac:dyDescent="0.25">
      <c r="A56" s="70"/>
      <c r="B56" s="121"/>
      <c r="C56" s="122"/>
      <c r="D56" s="122"/>
      <c r="E56" s="122"/>
      <c r="F56" s="122"/>
      <c r="G56" s="122"/>
      <c r="H56" s="122"/>
      <c r="I56" s="122"/>
      <c r="J56" s="122"/>
      <c r="K56" s="122"/>
      <c r="L56" s="122"/>
      <c r="M56" s="122"/>
      <c r="N56" s="122"/>
      <c r="O56" s="122"/>
      <c r="P56" s="122"/>
      <c r="Q56" s="123"/>
      <c r="Y56" s="217"/>
      <c r="Z56" s="91"/>
      <c r="AA56" s="91"/>
      <c r="AB56" s="91"/>
      <c r="AC56" s="91"/>
      <c r="AD56" s="91"/>
      <c r="AE56" s="91"/>
      <c r="AF56" s="218"/>
      <c r="AI56" s="217"/>
      <c r="AJ56" s="91"/>
      <c r="AK56" s="91"/>
      <c r="AL56" s="91"/>
      <c r="AM56" s="91"/>
      <c r="AN56" s="218"/>
    </row>
    <row r="57" spans="1:40" ht="15.65" customHeight="1" x14ac:dyDescent="0.25">
      <c r="A57" s="70"/>
      <c r="B57" s="124"/>
      <c r="C57" s="125" t="s">
        <v>1316</v>
      </c>
      <c r="D57" s="126"/>
      <c r="E57" s="126"/>
      <c r="F57" s="126"/>
      <c r="G57" s="126"/>
      <c r="H57" s="126"/>
      <c r="I57" s="126"/>
      <c r="J57" s="126"/>
      <c r="K57" s="126"/>
      <c r="L57" s="126"/>
      <c r="M57" s="126"/>
      <c r="N57" s="126"/>
      <c r="O57" s="126"/>
      <c r="P57" s="126"/>
      <c r="Q57" s="127"/>
      <c r="Y57" s="551"/>
      <c r="Z57" s="91"/>
      <c r="AA57" s="91"/>
      <c r="AB57" s="91"/>
      <c r="AC57" s="91"/>
      <c r="AD57" s="91"/>
      <c r="AE57" s="91"/>
      <c r="AF57" s="218"/>
      <c r="AI57" s="217"/>
      <c r="AJ57" s="91"/>
      <c r="AK57" s="91"/>
      <c r="AL57" s="91"/>
      <c r="AM57" s="91"/>
      <c r="AN57" s="218"/>
    </row>
    <row r="58" spans="1:40" ht="15.65" customHeight="1" x14ac:dyDescent="0.25">
      <c r="A58" s="70"/>
      <c r="B58" s="171"/>
      <c r="C58" s="153"/>
      <c r="D58" s="153"/>
      <c r="E58" s="130" t="s">
        <v>253</v>
      </c>
      <c r="F58" s="130" t="s">
        <v>81</v>
      </c>
      <c r="G58" s="175"/>
      <c r="H58" s="175"/>
      <c r="I58" s="175"/>
      <c r="J58" s="172"/>
      <c r="K58" s="153"/>
      <c r="L58" s="153"/>
      <c r="M58" s="153"/>
      <c r="N58" s="153"/>
      <c r="O58" s="130" t="s">
        <v>82</v>
      </c>
      <c r="P58" s="153"/>
      <c r="Q58" s="174"/>
      <c r="Y58" s="285" t="s">
        <v>254</v>
      </c>
      <c r="Z58" s="285" t="s">
        <v>255</v>
      </c>
      <c r="AA58" s="283" t="s">
        <v>256</v>
      </c>
      <c r="AB58" s="91"/>
      <c r="AC58" s="91"/>
      <c r="AD58" s="91"/>
      <c r="AE58" s="91"/>
      <c r="AF58" s="218"/>
      <c r="AI58" s="217"/>
      <c r="AJ58" s="91"/>
      <c r="AK58" s="91"/>
      <c r="AL58" s="91"/>
      <c r="AM58" s="91"/>
      <c r="AN58" s="218"/>
    </row>
    <row r="59" spans="1:40" ht="15.65" customHeight="1" x14ac:dyDescent="0.25">
      <c r="B59" s="209"/>
      <c r="C59" s="200"/>
      <c r="D59" s="200"/>
      <c r="E59" s="200"/>
      <c r="F59" s="200"/>
      <c r="G59" s="200"/>
      <c r="H59" s="79"/>
      <c r="I59" s="79"/>
      <c r="J59" s="200"/>
      <c r="K59" s="200"/>
      <c r="L59" s="200"/>
      <c r="M59" s="200"/>
      <c r="N59" s="210"/>
      <c r="O59" s="210"/>
      <c r="P59" s="210"/>
      <c r="Q59" s="212"/>
      <c r="Y59" s="286" t="s">
        <v>128</v>
      </c>
      <c r="Z59" s="286"/>
      <c r="AA59" s="283" t="s">
        <v>116</v>
      </c>
      <c r="AB59" s="91"/>
      <c r="AC59" s="91"/>
      <c r="AD59" s="91"/>
      <c r="AE59" s="91"/>
      <c r="AF59" s="218"/>
      <c r="AI59" s="217"/>
      <c r="AJ59" s="91"/>
      <c r="AK59" s="91"/>
      <c r="AL59" s="91"/>
      <c r="AM59" s="91"/>
      <c r="AN59" s="218"/>
    </row>
    <row r="60" spans="1:40" ht="15.65" customHeight="1" x14ac:dyDescent="0.25">
      <c r="B60" s="46"/>
      <c r="C60" s="815" t="s">
        <v>1330</v>
      </c>
      <c r="D60" s="97"/>
      <c r="E60" s="549"/>
      <c r="F60" s="1067"/>
      <c r="G60" s="1532" t="str">
        <f>IF(IFERROR(OR('Electricity Usage'!$G$71&gt;1,E60*VLOOKUP(F60,massConv[],3,FALSE)&gt;overall_CHPSteamGenerated),FALSE),'Hidden Lists and Summaries'!$D$159,"")</f>
        <v/>
      </c>
      <c r="H60" s="87"/>
      <c r="I60" s="87"/>
      <c r="J60" s="52"/>
      <c r="K60" s="52"/>
      <c r="L60" s="52"/>
      <c r="M60" s="52"/>
      <c r="N60" s="103" t="s">
        <v>209</v>
      </c>
      <c r="O60" s="111" t="str">
        <f>IFERROR($Z$60*AA60,'Hidden Lists and Summaries'!$C$158)</f>
        <v>Error -  Review inputs</v>
      </c>
      <c r="P60" s="105" t="s">
        <v>90</v>
      </c>
      <c r="Q60" s="49"/>
      <c r="Y60" s="274">
        <f>IFERROR(E60*VLOOKUP(F60,massConv[],3,FALSE),0)</f>
        <v>0</v>
      </c>
      <c r="Z60" s="104" t="e">
        <f>IF(overall_CHPSteamGenerated=0,0,Y60/overall_CHPSteamGenerated)</f>
        <v>#N/A</v>
      </c>
      <c r="AA60" s="278">
        <f>overall_embodiedCHPSteam</f>
        <v>0</v>
      </c>
      <c r="AB60" s="558" t="s">
        <v>257</v>
      </c>
      <c r="AC60" s="91"/>
      <c r="AD60"/>
      <c r="AE60" s="91"/>
      <c r="AF60" s="218"/>
      <c r="AI60" s="217"/>
      <c r="AJ60" s="91" t="str">
        <f>O60</f>
        <v>Error -  Review inputs</v>
      </c>
      <c r="AK60" s="91"/>
      <c r="AL60" s="68" t="str">
        <f>'Hidden Lists and Summaries'!$B$5</f>
        <v>Embodied (Upstream)</v>
      </c>
      <c r="AM60" s="91"/>
      <c r="AN60" s="218" t="s">
        <v>243</v>
      </c>
    </row>
    <row r="61" spans="1:40" ht="15.65" customHeight="1" x14ac:dyDescent="0.25">
      <c r="B61" s="46"/>
      <c r="C61" s="52"/>
      <c r="D61" s="52"/>
      <c r="E61" s="52"/>
      <c r="F61" s="52"/>
      <c r="G61" s="52"/>
      <c r="H61" s="87"/>
      <c r="I61" s="87"/>
      <c r="J61" s="52"/>
      <c r="K61" s="52"/>
      <c r="L61" s="52"/>
      <c r="M61" s="52"/>
      <c r="N61" s="106" t="s">
        <v>258</v>
      </c>
      <c r="O61" s="107" t="str">
        <f>IFERROR($Z$60*AA61,'Hidden Lists and Summaries'!$C$158)</f>
        <v>Error -  Review inputs</v>
      </c>
      <c r="P61" s="108" t="s">
        <v>90</v>
      </c>
      <c r="Q61" s="49"/>
      <c r="Y61" s="224"/>
      <c r="Z61" s="185"/>
      <c r="AA61" s="225">
        <f>overall_CHP_EmissionsSteam</f>
        <v>0</v>
      </c>
      <c r="AB61" s="558" t="s">
        <v>259</v>
      </c>
      <c r="AC61" s="91"/>
      <c r="AD61"/>
      <c r="AE61" s="91"/>
      <c r="AF61" s="218"/>
      <c r="AI61" s="217"/>
      <c r="AJ61" s="91" t="str">
        <f>O61</f>
        <v>Error -  Review inputs</v>
      </c>
      <c r="AK61" s="91"/>
      <c r="AL61" s="68" t="s">
        <v>248</v>
      </c>
      <c r="AM61" s="91"/>
      <c r="AN61" s="218"/>
    </row>
    <row r="62" spans="1:40" ht="15.65" customHeight="1" x14ac:dyDescent="0.25">
      <c r="B62" s="53"/>
      <c r="C62" s="54"/>
      <c r="D62" s="54"/>
      <c r="E62" s="54"/>
      <c r="F62" s="54"/>
      <c r="G62" s="54"/>
      <c r="H62" s="65"/>
      <c r="I62" s="65"/>
      <c r="J62" s="54"/>
      <c r="K62" s="54"/>
      <c r="L62" s="54"/>
      <c r="M62" s="54"/>
      <c r="N62" s="109" t="s">
        <v>120</v>
      </c>
      <c r="O62" s="72">
        <f>SUM(O60:O61)</f>
        <v>0</v>
      </c>
      <c r="P62" s="110" t="s">
        <v>90</v>
      </c>
      <c r="Q62" s="55"/>
      <c r="Y62" s="217"/>
      <c r="Z62" s="91"/>
      <c r="AA62" s="91"/>
      <c r="AB62" s="91"/>
      <c r="AC62" s="91"/>
      <c r="AD62" s="91"/>
      <c r="AE62" s="91"/>
      <c r="AF62" s="218"/>
      <c r="AI62" s="217"/>
      <c r="AJ62" s="91"/>
      <c r="AK62" s="91"/>
      <c r="AL62" s="91"/>
      <c r="AM62" s="91"/>
      <c r="AN62" s="218"/>
    </row>
    <row r="63" spans="1:40" ht="15.65" customHeight="1" x14ac:dyDescent="0.25">
      <c r="B63" s="71"/>
      <c r="C63" s="71"/>
      <c r="D63" s="71"/>
      <c r="E63" s="71"/>
      <c r="F63" s="71"/>
      <c r="G63" s="71"/>
      <c r="H63" s="71"/>
      <c r="I63" s="71"/>
      <c r="J63" s="71"/>
      <c r="K63" s="71"/>
      <c r="L63" s="71"/>
      <c r="M63" s="71"/>
      <c r="N63" s="208"/>
      <c r="O63" s="208"/>
      <c r="P63" s="71"/>
      <c r="Q63" s="71"/>
      <c r="Y63" s="217"/>
      <c r="Z63"/>
      <c r="AA63"/>
      <c r="AB63"/>
      <c r="AC63" s="91"/>
      <c r="AD63" s="91"/>
      <c r="AE63" s="91"/>
      <c r="AF63" s="218"/>
      <c r="AI63" s="217"/>
      <c r="AJ63" s="91"/>
      <c r="AK63" s="91"/>
      <c r="AL63" s="91"/>
      <c r="AM63" s="91"/>
      <c r="AN63" s="218"/>
    </row>
    <row r="64" spans="1:40" ht="15.65" customHeight="1" x14ac:dyDescent="0.25">
      <c r="B64" s="121"/>
      <c r="C64" s="122"/>
      <c r="D64" s="122"/>
      <c r="E64" s="122"/>
      <c r="F64" s="122"/>
      <c r="G64" s="169" t="s">
        <v>260</v>
      </c>
      <c r="H64" s="122"/>
      <c r="I64" s="122"/>
      <c r="J64" s="122"/>
      <c r="K64" s="122"/>
      <c r="L64" s="122"/>
      <c r="M64" s="122"/>
      <c r="N64" s="122"/>
      <c r="O64" s="122"/>
      <c r="P64" s="122"/>
      <c r="Q64" s="123"/>
      <c r="Y64" s="217"/>
      <c r="Z64" s="91"/>
      <c r="AA64" s="91"/>
      <c r="AB64" s="91"/>
      <c r="AC64" s="91"/>
      <c r="AD64" s="91"/>
      <c r="AE64" s="91"/>
      <c r="AF64" s="218"/>
      <c r="AI64" s="217"/>
      <c r="AJ64" s="91"/>
      <c r="AK64" s="91"/>
      <c r="AL64" s="91"/>
      <c r="AM64" s="91"/>
      <c r="AN64" s="218"/>
    </row>
    <row r="65" spans="2:40" ht="15.65" customHeight="1" x14ac:dyDescent="0.25">
      <c r="B65" s="124"/>
      <c r="C65" s="145" t="s">
        <v>1319</v>
      </c>
      <c r="D65" s="144"/>
      <c r="E65" s="129"/>
      <c r="F65" s="144"/>
      <c r="G65" s="144"/>
      <c r="H65" s="1881" t="s">
        <v>1326</v>
      </c>
      <c r="I65" s="144"/>
      <c r="J65" s="144"/>
      <c r="K65" s="144"/>
      <c r="L65" s="144"/>
      <c r="M65" s="144"/>
      <c r="N65" s="144"/>
      <c r="O65" s="144"/>
      <c r="P65" s="144"/>
      <c r="Q65" s="127"/>
      <c r="Y65" s="217"/>
      <c r="Z65" s="91"/>
      <c r="AA65" s="91"/>
      <c r="AB65" s="91"/>
      <c r="AC65" s="91"/>
      <c r="AD65" s="91"/>
      <c r="AE65" s="91"/>
      <c r="AF65" s="218"/>
      <c r="AI65" s="217"/>
      <c r="AJ65" s="91"/>
      <c r="AK65" s="91"/>
      <c r="AL65" s="91"/>
      <c r="AM65" s="91"/>
      <c r="AN65" s="218"/>
    </row>
    <row r="66" spans="2:40" ht="15.65" customHeight="1" x14ac:dyDescent="0.25">
      <c r="B66" s="171"/>
      <c r="C66" s="153"/>
      <c r="D66" s="153"/>
      <c r="E66" s="242" t="s">
        <v>198</v>
      </c>
      <c r="F66" s="130" t="s">
        <v>253</v>
      </c>
      <c r="G66" s="130" t="s">
        <v>184</v>
      </c>
      <c r="H66" s="1882"/>
      <c r="I66" s="131" t="s">
        <v>262</v>
      </c>
      <c r="J66" s="131" t="s">
        <v>263</v>
      </c>
      <c r="K66" s="153"/>
      <c r="L66" s="153"/>
      <c r="M66" s="153"/>
      <c r="N66" s="153"/>
      <c r="O66" s="130" t="s">
        <v>82</v>
      </c>
      <c r="P66" s="153"/>
      <c r="Q66" s="174"/>
      <c r="Y66" s="283" t="s">
        <v>122</v>
      </c>
      <c r="Z66" s="283" t="s">
        <v>264</v>
      </c>
      <c r="AA66" s="283" t="s">
        <v>265</v>
      </c>
      <c r="AB66" s="282" t="s">
        <v>266</v>
      </c>
      <c r="AC66" s="283" t="s">
        <v>123</v>
      </c>
      <c r="AD66" s="282" t="s">
        <v>77</v>
      </c>
      <c r="AE66" s="283" t="s">
        <v>267</v>
      </c>
      <c r="AF66" s="291" t="s">
        <v>268</v>
      </c>
      <c r="AI66" s="217"/>
      <c r="AJ66" s="91"/>
      <c r="AK66" s="91"/>
      <c r="AL66" s="91"/>
      <c r="AM66" s="91"/>
      <c r="AN66" s="218"/>
    </row>
    <row r="67" spans="2:40" ht="15.65" customHeight="1" x14ac:dyDescent="0.25">
      <c r="B67" s="46"/>
      <c r="C67" s="47"/>
      <c r="D67" s="47"/>
      <c r="E67" s="75"/>
      <c r="F67" s="47"/>
      <c r="G67" s="47"/>
      <c r="H67" s="47"/>
      <c r="I67" s="48"/>
      <c r="J67" s="48"/>
      <c r="K67" s="47"/>
      <c r="L67" s="47"/>
      <c r="M67" s="47"/>
      <c r="N67" s="103"/>
      <c r="O67" s="895" t="s">
        <v>269</v>
      </c>
      <c r="P67" s="105"/>
      <c r="Q67" s="49"/>
      <c r="Y67" s="283" t="s">
        <v>128</v>
      </c>
      <c r="Z67" s="283" t="s">
        <v>270</v>
      </c>
      <c r="AA67" s="283" t="s">
        <v>270</v>
      </c>
      <c r="AB67" s="282" t="s">
        <v>271</v>
      </c>
      <c r="AC67" s="282" t="s">
        <v>272</v>
      </c>
      <c r="AD67" s="282" t="s">
        <v>273</v>
      </c>
      <c r="AE67" s="283" t="s">
        <v>270</v>
      </c>
      <c r="AF67" s="291" t="s">
        <v>270</v>
      </c>
      <c r="AI67" s="217"/>
      <c r="AJ67" s="91"/>
      <c r="AK67" s="91"/>
      <c r="AL67" s="91"/>
      <c r="AM67" s="91"/>
      <c r="AN67" s="218"/>
    </row>
    <row r="68" spans="2:40" ht="15.65" customHeight="1" x14ac:dyDescent="0.25">
      <c r="B68" s="46"/>
      <c r="C68" s="63" t="s">
        <v>274</v>
      </c>
      <c r="D68" s="237"/>
      <c r="E68" s="751"/>
      <c r="F68" s="800"/>
      <c r="G68" s="800"/>
      <c r="H68" s="954"/>
      <c r="I68" s="955"/>
      <c r="J68" s="956"/>
      <c r="K68" s="47"/>
      <c r="L68" s="47"/>
      <c r="M68" s="47"/>
      <c r="N68" s="899"/>
      <c r="O68" s="107">
        <f>IF(AND(F68="",G68="",H68="",I68="",J68=""),0,IFERROR(AD68*Y68,'Hidden Lists and Summaries'!$C$158))</f>
        <v>0</v>
      </c>
      <c r="P68" s="897" t="s">
        <v>90</v>
      </c>
      <c r="Q68" s="49"/>
      <c r="Y68" s="274" t="e">
        <f>F68*VLOOKUP(G68,massConv[#All],3,FALSE)</f>
        <v>#N/A</v>
      </c>
      <c r="Z68" s="104" t="e">
        <f>VLOOKUP(I68,BoilerFuelReferenceTable[#All],2,FALSE)</f>
        <v>#N/A</v>
      </c>
      <c r="AA68" s="104" t="e">
        <f>IF(I68='Key Values'!$B$209,AE68,AF68/VLOOKUP(G68,massConv[#All],3,FALSE))</f>
        <v>#N/A</v>
      </c>
      <c r="AB68" s="43" t="e">
        <f>Z68+AA68</f>
        <v>#N/A</v>
      </c>
      <c r="AC68" s="104" t="e">
        <f>VLOOKUP(J68,SteamProperties[#All],6,FALSE)</f>
        <v>#N/A</v>
      </c>
      <c r="AD68" s="837" t="e">
        <f>IF(H68="",AB68*AC68,H68/VLOOKUP(G68,massConv[#All],3,FALSE))</f>
        <v>#N/A</v>
      </c>
      <c r="AE68" s="104">
        <f>IFERROR(VLOOKUP(iq_location,GaseousFuelEmbodiedEmissions[#All],IF(iq_metro="yes",2,3),FALSE),0)</f>
        <v>0</v>
      </c>
      <c r="AF68" s="278" t="e">
        <f>VLOOKUP(I68,BoilerFuelReferenceTable[#All],3,FALSE)</f>
        <v>#N/A</v>
      </c>
      <c r="AI68" s="217"/>
      <c r="AJ68" s="91"/>
      <c r="AK68" s="91"/>
      <c r="AL68" s="91"/>
      <c r="AM68" s="91"/>
      <c r="AN68" s="218"/>
    </row>
    <row r="69" spans="2:40" ht="15.65" customHeight="1" x14ac:dyDescent="0.25">
      <c r="B69" s="46"/>
      <c r="C69" s="63" t="s">
        <v>275</v>
      </c>
      <c r="D69" s="237"/>
      <c r="E69" s="752"/>
      <c r="F69" s="801"/>
      <c r="G69" s="802"/>
      <c r="H69" s="957"/>
      <c r="I69" s="958"/>
      <c r="J69" s="959"/>
      <c r="K69" s="47"/>
      <c r="L69" s="47"/>
      <c r="M69" s="47"/>
      <c r="N69" s="106"/>
      <c r="O69" s="107">
        <f>IF(AND(F69="",G69="",H69="",I69="",J69=""),0,IFERROR(AD69*Y69,'Hidden Lists and Summaries'!$C$158))</f>
        <v>0</v>
      </c>
      <c r="P69" s="108" t="s">
        <v>90</v>
      </c>
      <c r="Q69" s="49"/>
      <c r="Y69" s="217" t="e">
        <f>F69*VLOOKUP(G69,massConv[#All],3,FALSE)</f>
        <v>#N/A</v>
      </c>
      <c r="Z69" s="91" t="e">
        <f>VLOOKUP(I69,BoilerFuelReferenceTable[#All],2,FALSE)</f>
        <v>#N/A</v>
      </c>
      <c r="AA69" s="91" t="e">
        <f>IF(I69='Key Values'!$B$209,AE69,AF69)</f>
        <v>#N/A</v>
      </c>
      <c r="AB69" s="43" t="e">
        <f>Z69+AA69</f>
        <v>#N/A</v>
      </c>
      <c r="AC69" s="91" t="e">
        <f>VLOOKUP(J69,SteamProperties[#All],6,FALSE)</f>
        <v>#N/A</v>
      </c>
      <c r="AD69" s="836" t="e">
        <f>IF(H69="",AB69*AC69,H69/VLOOKUP(G69,massConv[#All],3,FALSE))</f>
        <v>#N/A</v>
      </c>
      <c r="AE69" s="91">
        <f>IFERROR(VLOOKUP(iq_location,GaseousFuelEmbodiedEmissions[#All],IF(iq_metro="yes",2,3),FALSE),0)</f>
        <v>0</v>
      </c>
      <c r="AF69" s="218" t="e">
        <f>VLOOKUP(I69,BoilerFuelReferenceTable[#All],3,FALSE)</f>
        <v>#N/A</v>
      </c>
      <c r="AI69" s="217"/>
      <c r="AJ69" s="91"/>
      <c r="AK69" s="91"/>
      <c r="AL69" s="91"/>
      <c r="AM69" s="91"/>
      <c r="AN69" s="218"/>
    </row>
    <row r="70" spans="2:40" ht="15.65" customHeight="1" x14ac:dyDescent="0.25">
      <c r="B70" s="46"/>
      <c r="C70" s="63" t="s">
        <v>276</v>
      </c>
      <c r="D70" s="237"/>
      <c r="E70" s="780"/>
      <c r="F70" s="803"/>
      <c r="G70" s="804"/>
      <c r="H70" s="960"/>
      <c r="I70" s="961"/>
      <c r="J70" s="962"/>
      <c r="K70" s="47"/>
      <c r="L70" s="47"/>
      <c r="M70" s="47"/>
      <c r="N70" s="106"/>
      <c r="O70" s="107">
        <f>IF(AND(F70="",G70="",H70="",I70="",J70=""),0,IFERROR(AD70*Y70,'Hidden Lists and Summaries'!$C$158))</f>
        <v>0</v>
      </c>
      <c r="P70" s="108" t="s">
        <v>90</v>
      </c>
      <c r="Q70" s="49"/>
      <c r="Y70" s="224" t="e">
        <f>F70*VLOOKUP(G70,massConv[#All],3,FALSE)</f>
        <v>#N/A</v>
      </c>
      <c r="Z70" s="185" t="e">
        <f>VLOOKUP(I70,BoilerFuelReferenceTable[#All],2,FALSE)</f>
        <v>#N/A</v>
      </c>
      <c r="AA70" s="185" t="e">
        <f>IF(I70='Key Values'!$B$209,AE70,AF70)</f>
        <v>#N/A</v>
      </c>
      <c r="AB70" s="185" t="e">
        <f>Z70+AA70</f>
        <v>#N/A</v>
      </c>
      <c r="AC70" s="185" t="e">
        <f>VLOOKUP(J70,SteamProperties[#All],6,FALSE)</f>
        <v>#N/A</v>
      </c>
      <c r="AD70" s="838" t="e">
        <f>IF(H70="",AB70*AC70,H70/VLOOKUP(G70,massConv[#All],3,FALSE))</f>
        <v>#N/A</v>
      </c>
      <c r="AE70" s="185">
        <f>IFERROR(VLOOKUP(iq_location,GaseousFuelEmbodiedEmissions[#All],IF(iq_metro="yes",2,3),FALSE),0)</f>
        <v>0</v>
      </c>
      <c r="AF70" s="225" t="e">
        <f>VLOOKUP(I70,BoilerFuelReferenceTable[#All],3,FALSE)</f>
        <v>#N/A</v>
      </c>
      <c r="AI70" s="217"/>
      <c r="AJ70" s="91"/>
      <c r="AK70" s="91"/>
      <c r="AL70" s="91"/>
      <c r="AM70" s="91"/>
      <c r="AN70" s="218"/>
    </row>
    <row r="71" spans="2:40" ht="15.65" customHeight="1" x14ac:dyDescent="0.25">
      <c r="B71" s="53"/>
      <c r="C71" s="54"/>
      <c r="D71" s="54"/>
      <c r="E71" s="102"/>
      <c r="F71" s="54"/>
      <c r="G71" s="54"/>
      <c r="H71" s="65"/>
      <c r="I71" s="65"/>
      <c r="J71" s="54"/>
      <c r="K71" s="54"/>
      <c r="L71" s="54"/>
      <c r="M71" s="54"/>
      <c r="N71" s="109" t="s">
        <v>120</v>
      </c>
      <c r="O71" s="72">
        <f>SUM(O68:O70)</f>
        <v>0</v>
      </c>
      <c r="P71" s="110" t="s">
        <v>90</v>
      </c>
      <c r="Q71" s="55"/>
      <c r="Y71" s="217"/>
      <c r="Z71" s="91"/>
      <c r="AA71" s="91"/>
      <c r="AB71" s="91"/>
      <c r="AC71" s="91"/>
      <c r="AD71" s="91"/>
      <c r="AE71" s="104"/>
      <c r="AF71" s="218"/>
      <c r="AI71" s="217"/>
      <c r="AJ71" s="91">
        <f>O71</f>
        <v>0</v>
      </c>
      <c r="AK71" s="91"/>
      <c r="AL71" s="91" t="str">
        <f>'Hidden Lists and Summaries'!$B$6</f>
        <v>Steam Supply</v>
      </c>
      <c r="AM71" s="91"/>
      <c r="AN71" s="218"/>
    </row>
    <row r="72" spans="2:40" ht="15.65" customHeight="1" x14ac:dyDescent="0.25">
      <c r="B72" s="71"/>
      <c r="C72" s="71"/>
      <c r="D72" s="71"/>
      <c r="E72" s="71"/>
      <c r="F72" s="71"/>
      <c r="G72" s="71"/>
      <c r="H72" s="71"/>
      <c r="I72" s="71"/>
      <c r="J72" s="71"/>
      <c r="K72" s="71"/>
      <c r="L72" s="71"/>
      <c r="M72" s="71"/>
      <c r="N72" s="71"/>
      <c r="O72" s="71"/>
      <c r="P72" s="71"/>
      <c r="Q72" s="71"/>
      <c r="S72" s="101"/>
      <c r="Y72" s="217"/>
      <c r="Z72" s="91"/>
      <c r="AA72" s="91"/>
      <c r="AB72" s="91"/>
      <c r="AC72" s="91"/>
      <c r="AD72" s="91"/>
      <c r="AE72" s="91"/>
      <c r="AF72" s="218"/>
      <c r="AI72" s="217"/>
      <c r="AJ72" s="91"/>
      <c r="AK72" s="91"/>
      <c r="AL72" s="91"/>
      <c r="AM72" s="91"/>
      <c r="AN72" s="218"/>
    </row>
    <row r="73" spans="2:40" ht="15.65" customHeight="1" x14ac:dyDescent="0.25">
      <c r="B73" s="133"/>
      <c r="C73" s="134"/>
      <c r="D73" s="134"/>
      <c r="E73" s="134"/>
      <c r="F73" s="134"/>
      <c r="G73" s="134"/>
      <c r="H73" s="134"/>
      <c r="I73" s="134"/>
      <c r="J73" s="134"/>
      <c r="K73" s="134"/>
      <c r="L73" s="134"/>
      <c r="M73" s="134"/>
      <c r="N73" s="134"/>
      <c r="O73" s="134"/>
      <c r="P73" s="134"/>
      <c r="Q73" s="135"/>
      <c r="S73" s="101"/>
      <c r="Y73" s="217"/>
      <c r="Z73" s="91"/>
      <c r="AA73" s="91"/>
      <c r="AC73" s="91"/>
      <c r="AD73" s="91"/>
      <c r="AE73" s="91"/>
      <c r="AF73" s="218"/>
      <c r="AI73" s="217"/>
      <c r="AJ73" s="91"/>
      <c r="AK73" s="91"/>
      <c r="AL73" s="91"/>
      <c r="AM73" s="91"/>
      <c r="AN73" s="218"/>
    </row>
    <row r="74" spans="2:40" ht="15.65" customHeight="1" x14ac:dyDescent="0.25">
      <c r="B74" s="136"/>
      <c r="C74" s="137" t="s">
        <v>1320</v>
      </c>
      <c r="D74" s="138"/>
      <c r="E74" s="138"/>
      <c r="F74" s="138"/>
      <c r="G74" s="138"/>
      <c r="H74" s="1881" t="s">
        <v>1326</v>
      </c>
      <c r="I74" s="138"/>
      <c r="J74" s="138"/>
      <c r="K74" s="138"/>
      <c r="L74" s="138"/>
      <c r="M74" s="138"/>
      <c r="N74" s="138"/>
      <c r="O74" s="138"/>
      <c r="P74" s="138"/>
      <c r="Q74" s="140"/>
      <c r="S74" s="101"/>
      <c r="Y74" s="217"/>
      <c r="Z74" s="91"/>
      <c r="AA74" s="91"/>
      <c r="AC74" s="91"/>
      <c r="AD74" s="91"/>
      <c r="AE74" s="91"/>
      <c r="AF74" s="218"/>
      <c r="AI74" s="217"/>
      <c r="AJ74" s="91"/>
      <c r="AK74" s="91"/>
      <c r="AL74" s="91"/>
      <c r="AM74" s="91"/>
      <c r="AN74" s="218"/>
    </row>
    <row r="75" spans="2:40" ht="15.65" customHeight="1" x14ac:dyDescent="0.25">
      <c r="B75" s="176"/>
      <c r="C75" s="177"/>
      <c r="D75" s="177"/>
      <c r="E75" s="131" t="s">
        <v>278</v>
      </c>
      <c r="F75" s="131" t="s">
        <v>279</v>
      </c>
      <c r="G75" s="130" t="s">
        <v>184</v>
      </c>
      <c r="H75" s="1882"/>
      <c r="I75" s="177"/>
      <c r="J75" s="177"/>
      <c r="K75" s="177"/>
      <c r="L75" s="177"/>
      <c r="M75" s="177"/>
      <c r="N75" s="177"/>
      <c r="O75" s="130" t="s">
        <v>82</v>
      </c>
      <c r="P75" s="177"/>
      <c r="Q75" s="178"/>
      <c r="S75" s="101"/>
      <c r="Y75" s="343" t="s">
        <v>77</v>
      </c>
      <c r="Z75" s="315" t="s">
        <v>94</v>
      </c>
      <c r="AA75" s="91"/>
      <c r="AC75" s="91"/>
      <c r="AD75" s="91"/>
      <c r="AE75" s="91"/>
      <c r="AF75" s="218"/>
      <c r="AI75" s="217"/>
      <c r="AJ75" s="91"/>
      <c r="AK75" s="91"/>
      <c r="AL75" s="91"/>
      <c r="AM75" s="91"/>
      <c r="AN75" s="218"/>
    </row>
    <row r="76" spans="2:40" ht="15.65" customHeight="1" x14ac:dyDescent="0.25">
      <c r="B76" s="57"/>
      <c r="C76" s="58"/>
      <c r="D76" s="58"/>
      <c r="E76" s="61"/>
      <c r="F76" s="61"/>
      <c r="G76" s="61"/>
      <c r="H76" s="58"/>
      <c r="I76" s="58"/>
      <c r="J76" s="58"/>
      <c r="K76" s="58"/>
      <c r="L76" s="58"/>
      <c r="M76" s="58"/>
      <c r="N76" s="896"/>
      <c r="O76" s="895" t="s">
        <v>209</v>
      </c>
      <c r="P76" s="898"/>
      <c r="Q76" s="59"/>
      <c r="S76" s="101"/>
      <c r="Y76" s="282" t="s">
        <v>280</v>
      </c>
      <c r="Z76" s="291" t="s">
        <v>281</v>
      </c>
      <c r="AA76" s="91"/>
      <c r="AC76" s="91"/>
      <c r="AD76" s="91"/>
      <c r="AE76" s="91"/>
      <c r="AF76" s="218"/>
      <c r="AI76" s="217"/>
      <c r="AJ76" s="91"/>
      <c r="AK76" s="91"/>
      <c r="AL76" s="91"/>
      <c r="AM76" s="91"/>
      <c r="AN76" s="218"/>
    </row>
    <row r="77" spans="2:40" ht="15.65" customHeight="1" x14ac:dyDescent="0.25">
      <c r="B77" s="57"/>
      <c r="C77" s="58" t="s">
        <v>282</v>
      </c>
      <c r="D77" s="58"/>
      <c r="E77" s="361"/>
      <c r="F77" s="362"/>
      <c r="G77" s="363"/>
      <c r="H77" s="364"/>
      <c r="I77" s="58"/>
      <c r="J77" s="58"/>
      <c r="K77" s="58"/>
      <c r="L77" s="58"/>
      <c r="M77" s="58"/>
      <c r="N77" s="106"/>
      <c r="O77" s="107">
        <f>IF(AND(F77="",G77="",H77=""),0,IFERROR(Y77*Z77,'Hidden Lists and Summaries'!$C$158))</f>
        <v>0</v>
      </c>
      <c r="P77" s="108" t="s">
        <v>90</v>
      </c>
      <c r="Q77" s="59"/>
      <c r="S77" s="101"/>
      <c r="Y77" s="217">
        <f>H77</f>
        <v>0</v>
      </c>
      <c r="Z77" s="218">
        <f>F77</f>
        <v>0</v>
      </c>
      <c r="AA77" s="91"/>
      <c r="AC77" s="91"/>
      <c r="AD77" s="91"/>
      <c r="AE77" s="91"/>
      <c r="AF77" s="218"/>
      <c r="AI77" s="217"/>
      <c r="AJ77" s="91"/>
      <c r="AK77" s="91"/>
      <c r="AL77" s="91"/>
      <c r="AM77" s="91"/>
      <c r="AN77" s="218"/>
    </row>
    <row r="78" spans="2:40" ht="15.65" customHeight="1" x14ac:dyDescent="0.25">
      <c r="B78" s="57"/>
      <c r="C78" s="58" t="s">
        <v>283</v>
      </c>
      <c r="D78" s="58"/>
      <c r="E78" s="365"/>
      <c r="F78" s="366"/>
      <c r="G78" s="366"/>
      <c r="H78" s="367"/>
      <c r="I78" s="58"/>
      <c r="J78" s="58"/>
      <c r="K78" s="58"/>
      <c r="L78" s="58"/>
      <c r="M78" s="58"/>
      <c r="N78" s="106"/>
      <c r="O78" s="107">
        <f>IF(AND(F78="",G78="",H78=""),0,IFERROR(Y78*Z78,'Hidden Lists and Summaries'!$C$158))</f>
        <v>0</v>
      </c>
      <c r="P78" s="108" t="s">
        <v>90</v>
      </c>
      <c r="Q78" s="59"/>
      <c r="S78" s="101"/>
      <c r="Y78" s="217">
        <f>H78</f>
        <v>0</v>
      </c>
      <c r="Z78" s="218">
        <f>F78</f>
        <v>0</v>
      </c>
      <c r="AA78" s="91"/>
      <c r="AB78" s="91"/>
      <c r="AC78" s="91"/>
      <c r="AD78" s="91"/>
      <c r="AE78" s="91"/>
      <c r="AF78" s="218"/>
      <c r="AI78" s="217"/>
      <c r="AJ78" s="91"/>
      <c r="AK78" s="91"/>
      <c r="AL78" s="91"/>
      <c r="AM78" s="91"/>
      <c r="AN78" s="218"/>
    </row>
    <row r="79" spans="2:40" ht="15.65" customHeight="1" x14ac:dyDescent="0.25">
      <c r="B79" s="57"/>
      <c r="C79" s="58" t="s">
        <v>284</v>
      </c>
      <c r="D79" s="58"/>
      <c r="E79" s="368"/>
      <c r="F79" s="366"/>
      <c r="G79" s="366"/>
      <c r="H79" s="369"/>
      <c r="I79" s="58"/>
      <c r="J79" s="58"/>
      <c r="K79" s="58"/>
      <c r="L79" s="58"/>
      <c r="M79" s="58"/>
      <c r="N79" s="106"/>
      <c r="O79" s="107">
        <f>IF(AND(F79="",G79="",H79=""),0,IFERROR(Y79*Z79,'Hidden Lists and Summaries'!$C$158))</f>
        <v>0</v>
      </c>
      <c r="P79" s="108" t="s">
        <v>90</v>
      </c>
      <c r="Q79" s="59"/>
      <c r="S79" s="101"/>
      <c r="Y79" s="217">
        <f>H79</f>
        <v>0</v>
      </c>
      <c r="Z79" s="218">
        <f>F79</f>
        <v>0</v>
      </c>
      <c r="AA79" s="91"/>
      <c r="AB79" s="91"/>
      <c r="AC79" s="91"/>
      <c r="AD79" s="91"/>
      <c r="AE79" s="91"/>
      <c r="AF79" s="218"/>
      <c r="AI79" s="217"/>
      <c r="AJ79" s="91"/>
      <c r="AK79" s="91"/>
      <c r="AL79" s="91"/>
      <c r="AM79" s="91"/>
      <c r="AN79" s="218"/>
    </row>
    <row r="80" spans="2:40" ht="15.65" customHeight="1" x14ac:dyDescent="0.25">
      <c r="B80" s="57"/>
      <c r="C80" s="58" t="s">
        <v>285</v>
      </c>
      <c r="D80" s="58"/>
      <c r="E80" s="370"/>
      <c r="F80" s="371"/>
      <c r="G80" s="371"/>
      <c r="H80" s="372"/>
      <c r="I80" s="58"/>
      <c r="J80" s="58"/>
      <c r="K80" s="58"/>
      <c r="L80" s="58"/>
      <c r="M80" s="58"/>
      <c r="N80" s="336"/>
      <c r="O80" s="107">
        <f>IF(AND(F80="",G80="",H80=""),0,IFERROR(Y80*Z80,'Hidden Lists and Summaries'!$C$158))</f>
        <v>0</v>
      </c>
      <c r="P80" s="108" t="s">
        <v>90</v>
      </c>
      <c r="Q80" s="59"/>
      <c r="S80" s="101"/>
      <c r="Y80" s="224">
        <f>H80</f>
        <v>0</v>
      </c>
      <c r="Z80" s="225">
        <f>F80</f>
        <v>0</v>
      </c>
      <c r="AA80" s="91"/>
      <c r="AB80" s="91"/>
      <c r="AC80" s="91"/>
      <c r="AD80" s="91"/>
      <c r="AE80" s="91"/>
      <c r="AF80" s="218"/>
      <c r="AI80" s="217"/>
      <c r="AJ80" s="91"/>
      <c r="AK80" s="91"/>
      <c r="AL80" s="91"/>
      <c r="AM80" s="91"/>
      <c r="AN80" s="218"/>
    </row>
    <row r="81" spans="2:40" ht="15.65" customHeight="1" x14ac:dyDescent="0.25">
      <c r="B81" s="60"/>
      <c r="C81" s="61"/>
      <c r="D81" s="61"/>
      <c r="E81" s="61"/>
      <c r="F81" s="61"/>
      <c r="G81" s="61"/>
      <c r="H81" s="61"/>
      <c r="I81" s="61"/>
      <c r="J81" s="61"/>
      <c r="K81" s="61"/>
      <c r="L81" s="61"/>
      <c r="M81" s="61"/>
      <c r="N81" s="333" t="s">
        <v>120</v>
      </c>
      <c r="O81" s="334">
        <f>SUM(O77:O80)</f>
        <v>0</v>
      </c>
      <c r="P81" s="335" t="s">
        <v>90</v>
      </c>
      <c r="Q81" s="62"/>
      <c r="S81" s="101"/>
      <c r="Y81" s="217"/>
      <c r="Z81" s="91"/>
      <c r="AA81" s="91"/>
      <c r="AB81" s="91"/>
      <c r="AC81" s="91"/>
      <c r="AD81" s="91"/>
      <c r="AE81" s="91"/>
      <c r="AF81" s="218"/>
      <c r="AI81" s="217"/>
      <c r="AJ81" s="91">
        <f>O81</f>
        <v>0</v>
      </c>
      <c r="AK81" s="91"/>
      <c r="AL81" s="91" t="str">
        <f>'Hidden Lists and Summaries'!B5</f>
        <v>Embodied (Upstream)</v>
      </c>
      <c r="AM81" s="91"/>
      <c r="AN81" s="218" t="s">
        <v>286</v>
      </c>
    </row>
    <row r="82" spans="2:40" ht="15.65" customHeight="1" x14ac:dyDescent="0.25">
      <c r="B82" s="71"/>
      <c r="C82" s="71"/>
      <c r="D82" s="71"/>
      <c r="E82" s="71"/>
      <c r="F82" s="71"/>
      <c r="G82" s="71"/>
      <c r="H82" s="71"/>
      <c r="I82" s="71"/>
      <c r="J82" s="71"/>
      <c r="K82" s="71"/>
      <c r="L82" s="71"/>
      <c r="M82" s="71"/>
      <c r="N82" s="71"/>
      <c r="O82" s="71"/>
      <c r="P82" s="71"/>
      <c r="Q82" s="71"/>
      <c r="S82" s="101"/>
      <c r="Y82" s="217"/>
      <c r="Z82" s="91"/>
      <c r="AA82" s="91"/>
      <c r="AB82" s="91"/>
      <c r="AC82" s="91"/>
      <c r="AD82" s="91"/>
      <c r="AE82" s="91"/>
      <c r="AF82" s="218"/>
      <c r="AI82" s="217"/>
      <c r="AJ82" s="91"/>
      <c r="AK82" s="91"/>
      <c r="AL82" s="91"/>
      <c r="AM82" s="91"/>
      <c r="AN82" s="218"/>
    </row>
    <row r="83" spans="2:40" ht="15.65" customHeight="1" x14ac:dyDescent="0.25">
      <c r="B83" s="121"/>
      <c r="C83" s="122"/>
      <c r="D83" s="122"/>
      <c r="E83" s="122"/>
      <c r="F83" s="122"/>
      <c r="G83" s="122"/>
      <c r="H83" s="1878" t="s">
        <v>287</v>
      </c>
      <c r="I83" s="1878"/>
      <c r="J83" s="1878"/>
      <c r="K83" s="122"/>
      <c r="L83" s="122"/>
      <c r="M83" s="122"/>
      <c r="N83" s="122"/>
      <c r="O83" s="122"/>
      <c r="P83" s="122"/>
      <c r="Q83" s="123"/>
      <c r="Y83" s="217"/>
      <c r="Z83" s="91"/>
      <c r="AA83" s="91"/>
      <c r="AB83" s="91"/>
      <c r="AC83" s="91"/>
      <c r="AD83" s="91"/>
      <c r="AE83" s="91"/>
      <c r="AF83" s="218"/>
      <c r="AI83" s="217"/>
      <c r="AJ83" s="91"/>
      <c r="AK83" s="91"/>
      <c r="AL83" s="91"/>
      <c r="AM83" s="91"/>
      <c r="AN83" s="218"/>
    </row>
    <row r="84" spans="2:40" ht="15.65" customHeight="1" x14ac:dyDescent="0.25">
      <c r="B84" s="124"/>
      <c r="C84" s="145" t="s">
        <v>1343</v>
      </c>
      <c r="D84" s="144"/>
      <c r="E84" s="344" t="s">
        <v>1344</v>
      </c>
      <c r="F84" s="144"/>
      <c r="G84" s="144"/>
      <c r="H84" s="144"/>
      <c r="I84" s="1879" t="s">
        <v>1308</v>
      </c>
      <c r="J84" s="1881" t="s">
        <v>1328</v>
      </c>
      <c r="K84" s="1881" t="s">
        <v>1309</v>
      </c>
      <c r="L84" s="144"/>
      <c r="M84" s="144"/>
      <c r="N84" s="144"/>
      <c r="O84" s="144"/>
      <c r="P84" s="144"/>
      <c r="Q84" s="127"/>
      <c r="Y84" s="217"/>
      <c r="Z84" s="91"/>
      <c r="AA84" s="91"/>
      <c r="AB84" s="91"/>
      <c r="AC84" s="91"/>
      <c r="AD84" s="91"/>
      <c r="AE84" s="91"/>
      <c r="AF84" s="218"/>
      <c r="AI84" s="217"/>
      <c r="AJ84" s="91"/>
      <c r="AK84" s="91"/>
      <c r="AL84" s="91"/>
      <c r="AM84" s="91"/>
      <c r="AN84" s="218"/>
    </row>
    <row r="85" spans="2:40" ht="15.65" customHeight="1" x14ac:dyDescent="0.25">
      <c r="B85" s="171"/>
      <c r="C85" s="153"/>
      <c r="D85" s="153"/>
      <c r="E85" s="130" t="s">
        <v>112</v>
      </c>
      <c r="F85" s="130" t="s">
        <v>117</v>
      </c>
      <c r="G85" s="130" t="s">
        <v>119</v>
      </c>
      <c r="H85" s="131" t="s">
        <v>184</v>
      </c>
      <c r="I85" s="1880"/>
      <c r="J85" s="1882"/>
      <c r="K85" s="1882"/>
      <c r="L85" s="172"/>
      <c r="M85" s="172"/>
      <c r="N85" s="172"/>
      <c r="O85" s="130" t="s">
        <v>82</v>
      </c>
      <c r="P85" s="172"/>
      <c r="Q85" s="173"/>
      <c r="Y85" s="288" t="s">
        <v>106</v>
      </c>
      <c r="Z85" s="289" t="s">
        <v>107</v>
      </c>
      <c r="AA85" s="289" t="s">
        <v>107</v>
      </c>
      <c r="AB85" s="290" t="s">
        <v>108</v>
      </c>
      <c r="AC85" s="283" t="s">
        <v>109</v>
      </c>
      <c r="AE85" s="91"/>
      <c r="AF85" s="218"/>
      <c r="AI85" s="217"/>
      <c r="AJ85" s="91"/>
      <c r="AK85" s="91"/>
      <c r="AL85" s="91"/>
      <c r="AM85" s="91"/>
      <c r="AN85" s="218"/>
    </row>
    <row r="86" spans="2:40" ht="15.65" customHeight="1" x14ac:dyDescent="0.25">
      <c r="B86" s="46"/>
      <c r="C86" s="47"/>
      <c r="D86" s="47"/>
      <c r="E86" s="47"/>
      <c r="F86" s="47"/>
      <c r="G86" s="47"/>
      <c r="H86" s="48"/>
      <c r="I86" s="100"/>
      <c r="J86" s="166"/>
      <c r="K86" s="47"/>
      <c r="L86" s="49"/>
      <c r="M86" s="896"/>
      <c r="N86" s="895" t="s">
        <v>209</v>
      </c>
      <c r="O86" s="892" t="s">
        <v>258</v>
      </c>
      <c r="P86" s="149"/>
      <c r="Q86" s="49"/>
      <c r="Y86" s="286" t="s">
        <v>113</v>
      </c>
      <c r="Z86" s="290" t="s">
        <v>114</v>
      </c>
      <c r="AA86" s="290" t="s">
        <v>1329</v>
      </c>
      <c r="AB86" s="286" t="s">
        <v>113</v>
      </c>
      <c r="AC86" s="283" t="s">
        <v>115</v>
      </c>
      <c r="AE86" s="91"/>
      <c r="AF86" s="218"/>
      <c r="AI86" s="217"/>
      <c r="AJ86" s="91"/>
      <c r="AK86" s="91"/>
      <c r="AL86" s="91"/>
      <c r="AM86" s="91"/>
      <c r="AN86" s="218"/>
    </row>
    <row r="87" spans="2:40" ht="15.65" customHeight="1" x14ac:dyDescent="0.25">
      <c r="B87" s="46"/>
      <c r="C87" s="63" t="s">
        <v>291</v>
      </c>
      <c r="D87" s="47"/>
      <c r="E87" s="967"/>
      <c r="F87" s="1707"/>
      <c r="G87" s="374"/>
      <c r="H87" s="1711"/>
      <c r="I87" s="975"/>
      <c r="J87" s="976"/>
      <c r="K87" s="977"/>
      <c r="L87" s="49"/>
      <c r="M87" s="107"/>
      <c r="N87" s="107">
        <f>IF(AND(E87="",F87="",G87="",H87="",I87="",J87="",K87=""),0,IFERROR(AA87*AB87*AC87,'Hidden Lists and Summaries'!$C$158))</f>
        <v>0</v>
      </c>
      <c r="O87" s="107">
        <f>IF(AND(E87="",F87="",G87="",H87="",I87="",J87="",K87=""),0,IFERROR(Y87*AA87*AC87,'Hidden Lists and Summaries'!$C$158))</f>
        <v>0</v>
      </c>
      <c r="P87" s="108" t="s">
        <v>90</v>
      </c>
      <c r="Q87" s="49"/>
      <c r="Y87" s="302" t="str">
        <f>IF(I87&lt;&gt;"",I87,
IF(E87="Solid Fuel",VLOOKUP(F87,'Key Values'!$B$40:$G$58,6,FALSE),
IF(E87="Gaseous Fuel", VLOOKUP(F87,'Key Values'!$B$71:$G$88,6,FALSE),
IF(E87="Liquid Fuel", VLOOKUP(F87,'Key Values'!$B$100:$H$120,7,FALSE),
'Hidden Lists and Summaries'!$C$157))))</f>
        <v>No default, please enter a bespoke value</v>
      </c>
      <c r="Z87" s="91" t="e">
        <f>IF(J87&lt;&gt;"",J87,IF(E87="Solid Fuel",VLOOKUP(F87,'Key Values'!$B$40:$G$58,2,FALSE),
IF(E87="Gaseous Fuel",VLOOKUP(F87,'Key Values'!$B$71:$G$88,2,FALSE),
VLOOKUP(F87,'Key Values'!$B$100:$H$120,2,FALSE))))</f>
        <v>#N/A</v>
      </c>
      <c r="AA87" s="1720" t="e" cm="1">
        <f t="array" ref="AA87">IF(J87&lt;&gt;"",J87/_xlfn.IFS('Key Values'!$B$35=E87, VLOOKUP(H87,massConv[#All], 2, FALSE),
'Key Values'!$B$36=E87, IF(VLOOKUP(F87,'Key Values'!$B$101:$H$121,3,FALSE)="GJ/t", VLOOKUP(H87,massConv[#All], 2, FALSE), VLOOKUP(H87,volConv[#All], 2, FALSE)),
'Key Values'!$B$37=E87, VLOOKUP(H87,volConv[#All], 2, FALSE)),Z87)</f>
        <v>#N/A</v>
      </c>
      <c r="AB87" s="303" t="e" cm="1">
        <f t="array" ref="AB87">_xlfn.IFS(K87&lt;&gt;"",K87,E87="Solid Fuel", VLOOKUP(F87,'Key Values'!$B$61:$C$68,2,FALSE),
E87="Liquid fuel",VLOOKUP(F87,'Key Values'!$B$123:$C$143,2,FALSE),
E87="Gaseous Fuel", IF(VLOOKUP(F87,GasFuel[#All],7,FALSE)=TRUE,IF(F87='Key Values'!$B$77,'Hidden Lists and Summaries'!$C$157,VLOOKUP(iq_location,GaseousFuelEmbodiedEmissions[#All],IF(iq_metro="Yes",2,3),FALSE)),'Hidden Lists and Summaries'!$C$157))</f>
        <v>#N/A</v>
      </c>
      <c r="AC87" s="304" t="e" cm="1">
        <f t="array" ref="AC87">_xlfn.IFS('Key Values'!$B$35=E87, VLOOKUP(H87,massConv[#All], 2, FALSE),
'Key Values'!$B$36=E87, IF(VLOOKUP(F87,'Key Values'!$B$101:$H$121,3,FALSE)="GJ/t", VLOOKUP(H87,massConv[#All], 2, FALSE), VLOOKUP(H87,volConv[#All], 2, FALSE)),
'Key Values'!$B$37=E87, VLOOKUP(H87,volConv[#All], 2, FALSE)) * G87</f>
        <v>#N/A</v>
      </c>
      <c r="AE87" s="91"/>
      <c r="AF87" s="218"/>
      <c r="AI87" s="217"/>
      <c r="AJ87" s="91"/>
      <c r="AK87" s="91"/>
      <c r="AL87" s="91"/>
      <c r="AM87" s="91"/>
      <c r="AN87" s="218"/>
    </row>
    <row r="88" spans="2:40" ht="15.65" customHeight="1" x14ac:dyDescent="0.25">
      <c r="B88" s="46"/>
      <c r="C88" s="63" t="s">
        <v>292</v>
      </c>
      <c r="D88" s="47"/>
      <c r="E88" s="969"/>
      <c r="F88" s="1708"/>
      <c r="G88" s="379"/>
      <c r="H88" s="380"/>
      <c r="I88" s="978"/>
      <c r="J88" s="979"/>
      <c r="K88" s="980"/>
      <c r="L88" s="49"/>
      <c r="M88" s="107"/>
      <c r="N88" s="107">
        <f>IF(AND(E88="",F88="",G88="",H88="",I88="",J88="",K88=""),0,IFERROR(AA88*AB88*AC88,'Hidden Lists and Summaries'!$C$158))</f>
        <v>0</v>
      </c>
      <c r="O88" s="107">
        <f>IF(AND(E88="",F88="",G88="",H88="",I88="",J88="",K88=""),0,IFERROR(Y88*AA88*AC88,'Hidden Lists and Summaries'!$C$158))</f>
        <v>0</v>
      </c>
      <c r="P88" s="108" t="s">
        <v>90</v>
      </c>
      <c r="Q88" s="49"/>
      <c r="Y88" s="293" t="str">
        <f>IF(I88&lt;&gt;"",I88,
IF(E88="Solid Fuel",VLOOKUP(F88,'Key Values'!$B$40:$G$58,6,FALSE),
IF(E88="Gaseous Fuel", VLOOKUP(F88,'Key Values'!$B$71:$G$88,6,FALSE),
IF(E88="Liquid Fuel", VLOOKUP(F88,'Key Values'!$B$100:$H$120,7,FALSE),
'Hidden Lists and Summaries'!$C$157))))</f>
        <v>No default, please enter a bespoke value</v>
      </c>
      <c r="Z88" s="91" t="e">
        <f>IF(J88&lt;&gt;"",J88,IF(E88="Solid Fuel",VLOOKUP(F88,'Key Values'!$B$40:$G$58,2,FALSE),
IF(E88="Gaseous Fuel",VLOOKUP(F88,'Key Values'!$B$71:$G$88,2,FALSE),
VLOOKUP(F88,'Key Values'!$B$100:$H$120,2,FALSE))))</f>
        <v>#N/A</v>
      </c>
      <c r="AA88" s="1720" t="e" cm="1">
        <f t="array" ref="AA88">IF(J88&lt;&gt;"",J88/_xlfn.IFS('Key Values'!$B$35=E88, VLOOKUP(H88,massConv[#All], 2, FALSE),
'Key Values'!$B$36=E88, IF(VLOOKUP(F88,'Key Values'!$B$101:$H$121,3,FALSE)="GJ/t", VLOOKUP(H88,massConv[#All], 2, FALSE), VLOOKUP(H88,volConv[#All], 2, FALSE)),
'Key Values'!$B$37=E88, VLOOKUP(H88,volConv[#All], 2, FALSE)),Z88)</f>
        <v>#N/A</v>
      </c>
      <c r="AB88" s="94" t="e" cm="1">
        <f t="array" ref="AB88">_xlfn.IFS(K88&lt;&gt;"",K88,E88="Solid Fuel", VLOOKUP(F88,'Key Values'!$B$61:$C$68,2,FALSE),
E88="Liquid fuel",VLOOKUP(F88,'Key Values'!$B$123:$C$143,2,FALSE),
E88="Gaseous Fuel", IF(VLOOKUP(F88,GasFuel[#All],7,FALSE)=TRUE,IF(F88='Key Values'!$B$77,'Hidden Lists and Summaries'!$C$157,VLOOKUP(iq_location,GaseousFuelEmbodiedEmissions[#All],IF(iq_metro="Yes",2,3),FALSE)),'Hidden Lists and Summaries'!$C$157))</f>
        <v>#N/A</v>
      </c>
      <c r="AC88" s="305" t="e" cm="1">
        <f t="array" ref="AC88">_xlfn.IFS('Key Values'!$B$35=E88, VLOOKUP(H88,massConv[#All], 2, FALSE),
'Key Values'!$B$36=E88, IF(VLOOKUP(F88,'Key Values'!$B$101:$H$121,3,FALSE)="GJ/t", VLOOKUP(H88,massConv[#All], 2, FALSE), VLOOKUP(H88,volConv[#All], 2, FALSE)),
'Key Values'!$B$37=E88, VLOOKUP(H88,volConv[#All], 2, FALSE)) * G88</f>
        <v>#N/A</v>
      </c>
      <c r="AE88" s="91"/>
      <c r="AF88" s="218"/>
      <c r="AI88" s="217"/>
      <c r="AJ88" s="91"/>
      <c r="AK88" s="91"/>
      <c r="AL88" s="91"/>
      <c r="AM88" s="91"/>
      <c r="AN88" s="218"/>
    </row>
    <row r="89" spans="2:40" ht="15.65" customHeight="1" x14ac:dyDescent="0.25">
      <c r="B89" s="46"/>
      <c r="C89" s="63" t="s">
        <v>293</v>
      </c>
      <c r="D89" s="47"/>
      <c r="E89" s="971"/>
      <c r="F89" s="1709"/>
      <c r="G89" s="386"/>
      <c r="H89" s="380"/>
      <c r="I89" s="978"/>
      <c r="J89" s="979"/>
      <c r="K89" s="981"/>
      <c r="L89" s="49"/>
      <c r="M89" s="107"/>
      <c r="N89" s="107">
        <f>IF(AND(E89="",F89="",G89="",H89="",I89="",J89="",K89=""),0,IFERROR(AA89*AB89*AC89,'Hidden Lists and Summaries'!$C$158))</f>
        <v>0</v>
      </c>
      <c r="O89" s="107">
        <f>IF(AND(E89="",F89="",G89="",H89="",I89="",J89="",K89=""),0,IFERROR(Y89*AA89*AC89,'Hidden Lists and Summaries'!$C$158))</f>
        <v>0</v>
      </c>
      <c r="P89" s="108" t="s">
        <v>90</v>
      </c>
      <c r="Q89" s="49"/>
      <c r="Y89" s="293" t="str">
        <f>IF(I89&lt;&gt;"",I89,
IF(E89="Solid Fuel",VLOOKUP(F89,'Key Values'!$B$40:$G$58,6,FALSE),
IF(E89="Gaseous Fuel", VLOOKUP(F89,'Key Values'!$B$71:$G$88,6,FALSE),
IF(E89="Liquid Fuel", VLOOKUP(F89,'Key Values'!$B$100:$H$120,7,FALSE),
'Hidden Lists and Summaries'!$C$157))))</f>
        <v>No default, please enter a bespoke value</v>
      </c>
      <c r="Z89" s="91" t="e">
        <f>IF(J89&lt;&gt;"",J89,IF(E89="Solid Fuel",VLOOKUP(F89,'Key Values'!$B$40:$G$58,2,FALSE),
IF(E89="Gaseous Fuel",VLOOKUP(F89,'Key Values'!$B$71:$G$88,2,FALSE),
VLOOKUP(F89,'Key Values'!$B$100:$H$120,2,FALSE))))</f>
        <v>#N/A</v>
      </c>
      <c r="AA89" s="1720" t="e" cm="1">
        <f t="array" ref="AA89">IF(J89&lt;&gt;"",J89/_xlfn.IFS('Key Values'!$B$35=E89, VLOOKUP(H89,massConv[#All], 2, FALSE),
'Key Values'!$B$36=E89, IF(VLOOKUP(F89,'Key Values'!$B$101:$H$121,3,FALSE)="GJ/t", VLOOKUP(H89,massConv[#All], 2, FALSE), VLOOKUP(H89,volConv[#All], 2, FALSE)),
'Key Values'!$B$37=E89, VLOOKUP(H89,volConv[#All], 2, FALSE)),Z89)</f>
        <v>#N/A</v>
      </c>
      <c r="AB89" s="94" t="e" cm="1">
        <f t="array" ref="AB89">_xlfn.IFS(K89&lt;&gt;"",K89,E89="Solid Fuel", VLOOKUP(F89,'Key Values'!$B$61:$C$68,2,FALSE),
E89="Liquid fuel",VLOOKUP(F89,'Key Values'!$B$123:$C$143,2,FALSE),
E89="Gaseous Fuel", IF(VLOOKUP(F89,GasFuel[#All],7,FALSE)=TRUE,IF(F89='Key Values'!$B$77,'Hidden Lists and Summaries'!$C$157,VLOOKUP(iq_location,GaseousFuelEmbodiedEmissions[#All],IF(iq_metro="Yes",2,3),FALSE)),'Hidden Lists and Summaries'!$C$157))</f>
        <v>#N/A</v>
      </c>
      <c r="AC89" s="305" t="e" cm="1">
        <f t="array" ref="AC89">_xlfn.IFS('Key Values'!$B$35=E89, VLOOKUP(H89,massConv[#All], 2, FALSE),
'Key Values'!$B$36=E89, IF(VLOOKUP(F89,'Key Values'!$B$101:$H$121,3,FALSE)="GJ/t", VLOOKUP(H89,massConv[#All], 2, FALSE), VLOOKUP(H89,volConv[#All], 2, FALSE)),
'Key Values'!$B$37=E89, VLOOKUP(H89,volConv[#All], 2, FALSE)) * G89</f>
        <v>#N/A</v>
      </c>
      <c r="AE89" s="91"/>
      <c r="AF89" s="218"/>
      <c r="AI89" s="217"/>
      <c r="AJ89" s="91"/>
      <c r="AK89" s="91"/>
      <c r="AL89" s="91"/>
      <c r="AM89" s="91"/>
      <c r="AN89" s="218"/>
    </row>
    <row r="90" spans="2:40" ht="15" customHeight="1" x14ac:dyDescent="0.25">
      <c r="B90" s="46"/>
      <c r="C90" s="63" t="s">
        <v>294</v>
      </c>
      <c r="D90" s="47"/>
      <c r="E90" s="971"/>
      <c r="F90" s="1709"/>
      <c r="G90" s="387"/>
      <c r="H90" s="380"/>
      <c r="I90" s="982"/>
      <c r="J90" s="983"/>
      <c r="K90" s="981"/>
      <c r="L90" s="49"/>
      <c r="M90" s="107"/>
      <c r="N90" s="107">
        <f>IF(AND(E90="",F90="",G90="",H90="",I90="",J90="",K90=""),0,IFERROR(AA90*AB90*AC90,'Hidden Lists and Summaries'!$C$158))</f>
        <v>0</v>
      </c>
      <c r="O90" s="107">
        <f>IF(AND(E90="",F90="",G90="",H90="",I90="",J90="",K90=""),0,IFERROR(Y90*AA90*AC90,'Hidden Lists and Summaries'!$C$158))</f>
        <v>0</v>
      </c>
      <c r="P90" s="108" t="s">
        <v>90</v>
      </c>
      <c r="Q90" s="49"/>
      <c r="Y90" s="293" t="str">
        <f>IF(I90&lt;&gt;"",I90,
IF(E90="Solid Fuel",VLOOKUP(F90,'Key Values'!$B$40:$G$58,6,FALSE),
IF(E90="Gaseous Fuel", VLOOKUP(F90,'Key Values'!$B$71:$G$88,6,FALSE),
IF(E90="Liquid Fuel", VLOOKUP(F90,'Key Values'!$B$100:$H$120,7,FALSE),
'Hidden Lists and Summaries'!$C$157))))</f>
        <v>No default, please enter a bespoke value</v>
      </c>
      <c r="Z90" s="91" t="e">
        <f>IF(J90&lt;&gt;"",J90,IF(E90="Solid Fuel",VLOOKUP(F90,'Key Values'!$B$40:$G$58,2,FALSE),
IF(E90="Gaseous Fuel",VLOOKUP(F90,'Key Values'!$B$71:$G$88,2,FALSE),
VLOOKUP(F90,'Key Values'!$B$100:$H$120,2,FALSE))))</f>
        <v>#N/A</v>
      </c>
      <c r="AA90" s="1720" t="e" cm="1">
        <f t="array" ref="AA90">IF(J90&lt;&gt;"",J90/_xlfn.IFS('Key Values'!$B$35=E90, VLOOKUP(H90,massConv[#All], 2, FALSE),
'Key Values'!$B$36=E90, IF(VLOOKUP(F90,'Key Values'!$B$101:$H$121,3,FALSE)="GJ/t", VLOOKUP(H90,massConv[#All], 2, FALSE), VLOOKUP(H90,volConv[#All], 2, FALSE)),
'Key Values'!$B$37=E90, VLOOKUP(H90,volConv[#All], 2, FALSE)),Z90)</f>
        <v>#N/A</v>
      </c>
      <c r="AB90" s="94" t="e" cm="1">
        <f t="array" ref="AB90">_xlfn.IFS(K90&lt;&gt;"",K90,E90="Solid Fuel", VLOOKUP(F90,'Key Values'!$B$61:$C$68,2,FALSE),
E90="Liquid fuel",VLOOKUP(F90,'Key Values'!$B$123:$C$143,2,FALSE),
E90="Gaseous Fuel", IF(VLOOKUP(F90,GasFuel[#All],7,FALSE)=TRUE,IF(F90='Key Values'!$B$77,'Hidden Lists and Summaries'!$C$157,VLOOKUP(iq_location,GaseousFuelEmbodiedEmissions[#All],IF(iq_metro="Yes",2,3),FALSE)),'Hidden Lists and Summaries'!$C$157))</f>
        <v>#N/A</v>
      </c>
      <c r="AC90" s="305" t="e" cm="1">
        <f t="array" ref="AC90">_xlfn.IFS('Key Values'!$B$35=E90, VLOOKUP(H90,massConv[#All], 2, FALSE),
'Key Values'!$B$36=E90, IF(VLOOKUP(F90,'Key Values'!$B$101:$H$121,3,FALSE)="GJ/t", VLOOKUP(H90,massConv[#All], 2, FALSE), VLOOKUP(H90,volConv[#All], 2, FALSE)),
'Key Values'!$B$37=E90, VLOOKUP(H90,volConv[#All], 2, FALSE)) * G90</f>
        <v>#N/A</v>
      </c>
      <c r="AE90" s="91"/>
      <c r="AF90" s="218"/>
      <c r="AI90" s="217"/>
      <c r="AJ90" s="91"/>
      <c r="AK90" s="91"/>
      <c r="AL90" s="91"/>
      <c r="AM90" s="91"/>
      <c r="AN90" s="218"/>
    </row>
    <row r="91" spans="2:40" ht="15" customHeight="1" x14ac:dyDescent="0.25">
      <c r="B91" s="46"/>
      <c r="C91" s="63" t="s">
        <v>295</v>
      </c>
      <c r="D91" s="47"/>
      <c r="E91" s="973"/>
      <c r="F91" s="1710"/>
      <c r="G91" s="392"/>
      <c r="H91" s="396"/>
      <c r="I91" s="984"/>
      <c r="J91" s="985"/>
      <c r="K91" s="986"/>
      <c r="L91" s="49"/>
      <c r="M91" s="107"/>
      <c r="N91" s="107">
        <f>IF(AND(E91="",F91="",G91="",H91="",I91="",J91="",K91=""),0,IFERROR(AA91*AB91*AC91,'Hidden Lists and Summaries'!$C$158))</f>
        <v>0</v>
      </c>
      <c r="O91" s="107">
        <f>IF(AND(E91="",F91="",G91="",H91="",I91="",J91="",K91=""),0,IFERROR(Y91*AA91*AC91,'Hidden Lists and Summaries'!$C$158))</f>
        <v>0</v>
      </c>
      <c r="P91" s="108" t="s">
        <v>90</v>
      </c>
      <c r="Q91" s="49"/>
      <c r="Y91" s="306" t="str">
        <f>IF(I91&lt;&gt;"",I91,
IF(E91="Solid Fuel",VLOOKUP(F91,'Key Values'!$B$40:$G$58,6,FALSE),
IF(E91="Gaseous Fuel", VLOOKUP(F91,'Key Values'!$B$71:$G$88,6,FALSE),
IF(E91="Liquid Fuel", VLOOKUP(F91,'Key Values'!$B$100:$H$120,7,FALSE),
'Hidden Lists and Summaries'!$C$157))))</f>
        <v>No default, please enter a bespoke value</v>
      </c>
      <c r="Z91" s="185" t="e">
        <f>IF(J91&lt;&gt;"",J91,IF(E91="Solid Fuel",VLOOKUP(F91,'Key Values'!$B$40:$G$58,2,FALSE),
IF(E91="Gaseous Fuel",VLOOKUP(F91,'Key Values'!$B$71:$G$88,2,FALSE),
VLOOKUP(F91,'Key Values'!$B$100:$H$120,2,FALSE))))</f>
        <v>#N/A</v>
      </c>
      <c r="AA91" s="1719" t="e" cm="1">
        <f t="array" ref="AA91">IF(J91&lt;&gt;"",J91/_xlfn.IFS('Key Values'!$B$35=E91, VLOOKUP(H91,massConv[#All], 2, FALSE),
'Key Values'!$B$36=E91, IF(VLOOKUP(F91,'Key Values'!$B$101:$H$121,3,FALSE)="GJ/t", VLOOKUP(H91,massConv[#All], 2, FALSE), VLOOKUP(H91,volConv[#All], 2, FALSE)),
'Key Values'!$B$37=E91, VLOOKUP(H91,volConv[#All], 2, FALSE)),Z91)</f>
        <v>#N/A</v>
      </c>
      <c r="AB91" s="307" t="e" cm="1">
        <f t="array" ref="AB91">_xlfn.IFS(K91&lt;&gt;"",K91,E91="Solid Fuel", VLOOKUP(F91,'Key Values'!$B$61:$C$68,2,FALSE),
E91="Liquid fuel",VLOOKUP(F91,'Key Values'!$B$123:$C$143,2,FALSE),
E91="Gaseous Fuel", IF(VLOOKUP(F91,GasFuel[#All],7,FALSE)=TRUE,IF(F91='Key Values'!$B$77,'Hidden Lists and Summaries'!$C$157,VLOOKUP(iq_location,GaseousFuelEmbodiedEmissions[#All],IF(iq_metro="Yes",2,3),FALSE)),'Hidden Lists and Summaries'!$C$157))</f>
        <v>#N/A</v>
      </c>
      <c r="AC91" s="308" t="e" cm="1">
        <f t="array" ref="AC91">_xlfn.IFS('Key Values'!$B$35=E91, VLOOKUP(H91,massConv[#All], 2, FALSE),
'Key Values'!$B$36=E91, IF(VLOOKUP(F91,'Key Values'!$B$101:$H$121,3,FALSE)="GJ/t", VLOOKUP(H91,massConv[#All], 2, FALSE), VLOOKUP(H91,volConv[#All], 2, FALSE)),
'Key Values'!$B$37=E91, VLOOKUP(H91,volConv[#All], 2, FALSE)) * G91</f>
        <v>#N/A</v>
      </c>
      <c r="AE91" s="91"/>
      <c r="AF91" s="218"/>
      <c r="AI91" s="217"/>
      <c r="AJ91" s="91"/>
      <c r="AK91" s="91"/>
      <c r="AL91" s="91"/>
      <c r="AM91" s="91"/>
      <c r="AN91" s="218"/>
    </row>
    <row r="92" spans="2:40" ht="15.65" customHeight="1" x14ac:dyDescent="0.25">
      <c r="B92" s="53"/>
      <c r="C92" s="54"/>
      <c r="D92" s="54"/>
      <c r="E92" s="54"/>
      <c r="F92" s="98"/>
      <c r="G92" s="99"/>
      <c r="H92" s="65"/>
      <c r="I92" s="65"/>
      <c r="J92" s="54"/>
      <c r="K92" s="54"/>
      <c r="L92" s="55"/>
      <c r="M92" s="167" t="s">
        <v>120</v>
      </c>
      <c r="N92" s="168">
        <f>SUM(N87:N91)</f>
        <v>0</v>
      </c>
      <c r="O92" s="72">
        <f>SUM(O87:O91)</f>
        <v>0</v>
      </c>
      <c r="P92" s="110" t="s">
        <v>90</v>
      </c>
      <c r="Q92" s="55"/>
      <c r="Y92" s="217"/>
      <c r="Z92" s="91"/>
      <c r="AA92" s="91"/>
      <c r="AB92" s="284"/>
      <c r="AC92" s="91"/>
      <c r="AD92" s="91"/>
      <c r="AE92" s="91"/>
      <c r="AF92" s="218"/>
      <c r="AG92" s="91"/>
      <c r="AH92" s="91"/>
      <c r="AI92" s="217">
        <f>N92</f>
        <v>0</v>
      </c>
      <c r="AJ92" s="91">
        <f>O92</f>
        <v>0</v>
      </c>
      <c r="AK92" s="91" t="str">
        <f>'Hidden Lists and Summaries'!B5</f>
        <v>Embodied (Upstream)</v>
      </c>
      <c r="AL92" s="91" t="str">
        <f>'Hidden Lists and Summaries'!B8</f>
        <v>Fuel Combustion</v>
      </c>
      <c r="AM92" s="91" t="s">
        <v>243</v>
      </c>
      <c r="AN92" s="218"/>
    </row>
    <row r="93" spans="2:40" ht="15.65" customHeight="1" x14ac:dyDescent="0.25">
      <c r="B93" s="71"/>
      <c r="C93" s="71"/>
      <c r="D93" s="71"/>
      <c r="E93" s="71"/>
      <c r="F93" s="71"/>
      <c r="G93" s="71"/>
      <c r="H93" s="71"/>
      <c r="I93" s="71"/>
      <c r="J93" s="71"/>
      <c r="K93" s="71"/>
      <c r="L93" s="71"/>
      <c r="M93" s="71"/>
      <c r="N93" s="71"/>
      <c r="O93" s="71"/>
      <c r="P93" s="71"/>
      <c r="Q93" s="71"/>
      <c r="Y93" s="217"/>
      <c r="Z93" s="91"/>
      <c r="AA93" s="91"/>
      <c r="AB93" s="91"/>
      <c r="AC93" s="91"/>
      <c r="AD93" s="91"/>
      <c r="AE93" s="91"/>
      <c r="AF93" s="218"/>
      <c r="AG93" s="91"/>
      <c r="AH93" s="91"/>
      <c r="AI93" s="217"/>
      <c r="AJ93" s="91"/>
      <c r="AK93" s="91"/>
      <c r="AL93" s="91"/>
      <c r="AM93" s="91"/>
      <c r="AN93" s="218"/>
    </row>
    <row r="94" spans="2:40" ht="15.65" customHeight="1" x14ac:dyDescent="0.25">
      <c r="B94" s="121"/>
      <c r="C94" s="122"/>
      <c r="D94" s="122"/>
      <c r="E94" s="122"/>
      <c r="F94" s="122"/>
      <c r="G94" s="122"/>
      <c r="H94" s="122"/>
      <c r="I94" s="122"/>
      <c r="J94" s="122"/>
      <c r="K94" s="122"/>
      <c r="L94" s="122"/>
      <c r="M94" s="122"/>
      <c r="N94" s="122"/>
      <c r="O94" s="122"/>
      <c r="P94" s="122"/>
      <c r="Q94" s="123"/>
      <c r="Y94" s="217"/>
      <c r="Z94" s="91"/>
      <c r="AA94" s="91"/>
      <c r="AB94" s="91"/>
      <c r="AC94" s="91"/>
      <c r="AD94" s="91"/>
      <c r="AE94" s="91"/>
      <c r="AF94" s="218"/>
      <c r="AG94" s="91"/>
      <c r="AH94" s="91"/>
      <c r="AI94" s="217"/>
      <c r="AJ94" s="91"/>
      <c r="AK94" s="91"/>
      <c r="AL94" s="91"/>
      <c r="AM94" s="91"/>
      <c r="AN94" s="218"/>
    </row>
    <row r="95" spans="2:40" ht="15.65" customHeight="1" x14ac:dyDescent="0.25">
      <c r="B95" s="124"/>
      <c r="C95" s="145" t="s">
        <v>1321</v>
      </c>
      <c r="D95" s="144"/>
      <c r="E95" s="144"/>
      <c r="F95" s="144"/>
      <c r="G95" s="144"/>
      <c r="H95" s="144"/>
      <c r="I95" s="144"/>
      <c r="J95" s="144"/>
      <c r="K95" s="144"/>
      <c r="L95" s="144"/>
      <c r="M95" s="144"/>
      <c r="N95" s="144"/>
      <c r="O95" s="144"/>
      <c r="P95" s="144"/>
      <c r="Q95" s="127"/>
      <c r="Y95" s="217"/>
      <c r="Z95" s="91"/>
      <c r="AA95" s="91"/>
      <c r="AB95" s="91"/>
      <c r="AC95" s="91"/>
      <c r="AD95" s="91"/>
      <c r="AE95" s="91"/>
      <c r="AF95" s="218"/>
      <c r="AG95" s="91"/>
      <c r="AH95" s="91"/>
      <c r="AI95" s="217"/>
      <c r="AJ95" s="91"/>
      <c r="AK95" s="91"/>
      <c r="AL95" s="91"/>
      <c r="AM95" s="91"/>
      <c r="AN95" s="218"/>
    </row>
    <row r="96" spans="2:40" ht="15.65" customHeight="1" x14ac:dyDescent="0.25">
      <c r="B96" s="171"/>
      <c r="C96" s="153"/>
      <c r="D96" s="153"/>
      <c r="E96" s="130" t="s">
        <v>297</v>
      </c>
      <c r="F96" s="130" t="s">
        <v>298</v>
      </c>
      <c r="G96" s="131" t="s">
        <v>299</v>
      </c>
      <c r="H96" s="131" t="s">
        <v>184</v>
      </c>
      <c r="I96" s="131"/>
      <c r="J96" s="172"/>
      <c r="K96" s="172"/>
      <c r="L96" s="172"/>
      <c r="M96" s="172"/>
      <c r="N96" s="172"/>
      <c r="O96" s="130" t="s">
        <v>82</v>
      </c>
      <c r="P96" s="172"/>
      <c r="Q96" s="173"/>
      <c r="Y96" s="285" t="s">
        <v>300</v>
      </c>
      <c r="Z96" s="73" t="s">
        <v>301</v>
      </c>
      <c r="AA96" s="73" t="s">
        <v>302</v>
      </c>
      <c r="AB96" s="283" t="s">
        <v>94</v>
      </c>
      <c r="AC96" s="283" t="s">
        <v>303</v>
      </c>
      <c r="AD96" s="91"/>
      <c r="AE96" s="91"/>
      <c r="AF96" s="218"/>
      <c r="AG96" s="91"/>
      <c r="AH96" s="91"/>
      <c r="AI96" s="217"/>
      <c r="AJ96" s="91"/>
      <c r="AK96" s="91"/>
      <c r="AL96" s="91"/>
      <c r="AM96" s="91"/>
      <c r="AN96" s="218"/>
    </row>
    <row r="97" spans="2:40" ht="15.65" customHeight="1" x14ac:dyDescent="0.25">
      <c r="B97" s="46"/>
      <c r="C97" s="47"/>
      <c r="D97" s="47"/>
      <c r="E97" s="47"/>
      <c r="F97" s="47"/>
      <c r="G97" s="47"/>
      <c r="H97" s="48"/>
      <c r="I97" s="48"/>
      <c r="J97" s="47"/>
      <c r="K97" s="47"/>
      <c r="L97" s="47"/>
      <c r="M97" s="47"/>
      <c r="N97" s="896"/>
      <c r="O97" s="895" t="s">
        <v>304</v>
      </c>
      <c r="P97" s="898"/>
      <c r="Q97" s="148"/>
      <c r="Y97" s="294"/>
      <c r="Z97" s="74" t="s">
        <v>116</v>
      </c>
      <c r="AA97" s="272"/>
      <c r="AB97" s="283" t="s">
        <v>128</v>
      </c>
      <c r="AC97" s="283"/>
      <c r="AD97" s="91"/>
      <c r="AE97" s="91"/>
      <c r="AF97" s="218"/>
      <c r="AG97" s="91"/>
      <c r="AH97" s="91"/>
      <c r="AI97" s="217"/>
      <c r="AJ97" s="91"/>
      <c r="AK97" s="91"/>
      <c r="AL97" s="91"/>
      <c r="AM97" s="91"/>
      <c r="AN97" s="218"/>
    </row>
    <row r="98" spans="2:40" ht="15.65" customHeight="1" x14ac:dyDescent="0.25">
      <c r="B98" s="46"/>
      <c r="C98" s="63" t="s">
        <v>305</v>
      </c>
      <c r="D98" s="47"/>
      <c r="E98" s="987"/>
      <c r="F98" s="988"/>
      <c r="G98" s="358"/>
      <c r="H98" s="397"/>
      <c r="I98" s="48"/>
      <c r="J98" s="47"/>
      <c r="K98" s="47"/>
      <c r="L98" s="47"/>
      <c r="M98" s="47"/>
      <c r="N98" s="106"/>
      <c r="O98" s="107">
        <f>IF(AND(E98="",F98="",G98="",H98=""),0,IFERROR(Z98*AC98,'Hidden Lists and Summaries'!$C$158))</f>
        <v>0</v>
      </c>
      <c r="P98" s="108" t="s">
        <v>90</v>
      </c>
      <c r="Q98" s="49"/>
      <c r="Y98" s="274" t="e">
        <f>VLOOKUP(F98,CO2Equivalence[],2,FALSE)</f>
        <v>#N/A</v>
      </c>
      <c r="Z98" s="104" t="e">
        <f>AB98*Y98</f>
        <v>#N/A</v>
      </c>
      <c r="AA98" s="509" t="e">
        <f>IF(F98='Key Values'!$B$221,VLOOKUP(Electrolysis!E98,IndustrialProcessEmissions[],3,FALSE),VLOOKUP(Electrolysis!E98,IndustrialProcessEmissions[],2,FALSE))</f>
        <v>#N/A</v>
      </c>
      <c r="AB98" s="310" t="e">
        <f>VLOOKUP(H98,massConv[#All], 3, FALSE)*G98</f>
        <v>#N/A</v>
      </c>
      <c r="AC98" s="299" t="e">
        <f t="shared" ref="AC98:AC104" si="0">AA98*iq_batchDurationYears</f>
        <v>#N/A</v>
      </c>
      <c r="AD98" s="91"/>
      <c r="AE98" s="91"/>
      <c r="AF98" s="218"/>
      <c r="AG98" s="91"/>
      <c r="AH98" s="91"/>
      <c r="AI98" s="217"/>
      <c r="AJ98" s="91"/>
      <c r="AK98" s="91"/>
      <c r="AL98" s="91"/>
      <c r="AM98" s="91"/>
      <c r="AN98" s="218"/>
    </row>
    <row r="99" spans="2:40" ht="15.65" customHeight="1" x14ac:dyDescent="0.25">
      <c r="B99" s="46"/>
      <c r="C99" s="63" t="s">
        <v>306</v>
      </c>
      <c r="D99" s="47"/>
      <c r="E99" s="989"/>
      <c r="F99" s="990"/>
      <c r="G99" s="398"/>
      <c r="H99" s="399"/>
      <c r="I99" s="48"/>
      <c r="J99" s="47"/>
      <c r="K99" s="47"/>
      <c r="L99" s="47"/>
      <c r="M99" s="47"/>
      <c r="N99" s="106"/>
      <c r="O99" s="107">
        <f>IF(AND(E99="",F99="",G99="",H99=""),0,IFERROR(Z99*AC99,'Hidden Lists and Summaries'!$C$158))</f>
        <v>0</v>
      </c>
      <c r="P99" s="108" t="s">
        <v>90</v>
      </c>
      <c r="Q99" s="49"/>
      <c r="Y99" s="217" t="e">
        <f>VLOOKUP(F99,CO2Equivalence[],2,FALSE)</f>
        <v>#N/A</v>
      </c>
      <c r="Z99" s="91" t="e">
        <f t="shared" ref="Z99:Z104" si="1">AB99*Y99</f>
        <v>#N/A</v>
      </c>
      <c r="AA99" s="510" t="e">
        <f>IF(F99='Key Values'!$B$221,VLOOKUP(Electrolysis!E99,IndustrialProcessEmissions[],3,FALSE),VLOOKUP(Electrolysis!E99,IndustrialProcessEmissions[],2,FALSE))</f>
        <v>#N/A</v>
      </c>
      <c r="AB99" s="284" t="e">
        <f>VLOOKUP(H99,massConv[#All], 3, FALSE)*G99</f>
        <v>#N/A</v>
      </c>
      <c r="AC99" s="300" t="e">
        <f t="shared" si="0"/>
        <v>#N/A</v>
      </c>
      <c r="AD99" s="91"/>
      <c r="AE99" s="91"/>
      <c r="AF99" s="218"/>
      <c r="AG99" s="91"/>
      <c r="AH99" s="91"/>
      <c r="AI99" s="217"/>
      <c r="AJ99" s="91"/>
      <c r="AK99" s="91"/>
      <c r="AL99" s="91"/>
      <c r="AM99" s="91"/>
      <c r="AN99" s="218"/>
    </row>
    <row r="100" spans="2:40" ht="15.65" customHeight="1" x14ac:dyDescent="0.25">
      <c r="B100" s="46"/>
      <c r="C100" s="63" t="s">
        <v>307</v>
      </c>
      <c r="D100" s="47"/>
      <c r="E100" s="989"/>
      <c r="F100" s="990"/>
      <c r="G100" s="398"/>
      <c r="H100" s="399"/>
      <c r="I100" s="48"/>
      <c r="J100" s="47"/>
      <c r="K100" s="47"/>
      <c r="L100" s="47"/>
      <c r="M100" s="47"/>
      <c r="N100" s="106"/>
      <c r="O100" s="107">
        <f>IF(AND(E100="",F100="",G100="",H100=""),0,IFERROR(Z100*AC100,'Hidden Lists and Summaries'!$C$158))</f>
        <v>0</v>
      </c>
      <c r="P100" s="108" t="s">
        <v>90</v>
      </c>
      <c r="Q100" s="49"/>
      <c r="Y100" s="217" t="e">
        <f>VLOOKUP(F100,CO2Equivalence[],2,FALSE)</f>
        <v>#N/A</v>
      </c>
      <c r="Z100" s="91" t="e">
        <f t="shared" si="1"/>
        <v>#N/A</v>
      </c>
      <c r="AA100" s="510" t="e">
        <f>IF(F100='Key Values'!$B$221,VLOOKUP(Electrolysis!E100,IndustrialProcessEmissions[],3,FALSE),VLOOKUP(Electrolysis!E100,IndustrialProcessEmissions[],2,FALSE))</f>
        <v>#N/A</v>
      </c>
      <c r="AB100" s="284" t="e">
        <f>VLOOKUP(H100,massConv[#All], 3, FALSE)*G100</f>
        <v>#N/A</v>
      </c>
      <c r="AC100" s="300" t="e">
        <f t="shared" si="0"/>
        <v>#N/A</v>
      </c>
      <c r="AD100" s="91"/>
      <c r="AE100" s="91"/>
      <c r="AF100" s="218"/>
      <c r="AG100" s="91"/>
      <c r="AH100" s="91"/>
      <c r="AI100" s="217"/>
      <c r="AJ100" s="91"/>
      <c r="AK100" s="91"/>
      <c r="AL100" s="91"/>
      <c r="AM100" s="91"/>
      <c r="AN100" s="218"/>
    </row>
    <row r="101" spans="2:40" x14ac:dyDescent="0.25">
      <c r="B101" s="46"/>
      <c r="C101" s="63" t="s">
        <v>308</v>
      </c>
      <c r="D101" s="47"/>
      <c r="E101" s="991"/>
      <c r="F101" s="990"/>
      <c r="G101" s="398"/>
      <c r="H101" s="399"/>
      <c r="I101" s="48"/>
      <c r="J101" s="47"/>
      <c r="K101" s="47"/>
      <c r="L101" s="47"/>
      <c r="M101" s="47"/>
      <c r="N101" s="106"/>
      <c r="O101" s="107">
        <f>IF(AND(E101="",F101="",G101="",H101=""),0,IFERROR(Z101*AC101,'Hidden Lists and Summaries'!$C$158))</f>
        <v>0</v>
      </c>
      <c r="P101" s="108" t="s">
        <v>90</v>
      </c>
      <c r="Q101" s="49"/>
      <c r="Y101" s="217" t="e">
        <f>VLOOKUP(F101,CO2Equivalence[],2,FALSE)</f>
        <v>#N/A</v>
      </c>
      <c r="Z101" s="91" t="e">
        <f t="shared" si="1"/>
        <v>#N/A</v>
      </c>
      <c r="AA101" s="510" t="e">
        <f>IF(F101='Key Values'!$B$221,VLOOKUP(Electrolysis!E101,IndustrialProcessEmissions[],3,FALSE),VLOOKUP(Electrolysis!E101,IndustrialProcessEmissions[],2,FALSE))</f>
        <v>#N/A</v>
      </c>
      <c r="AB101" s="284" t="e">
        <f>VLOOKUP(H101,massConv[#All], 3, FALSE)*G101</f>
        <v>#N/A</v>
      </c>
      <c r="AC101" s="300" t="e">
        <f t="shared" si="0"/>
        <v>#N/A</v>
      </c>
      <c r="AD101" s="91"/>
      <c r="AE101" s="91"/>
      <c r="AF101" s="218"/>
      <c r="AG101" s="91"/>
      <c r="AH101" s="91"/>
      <c r="AI101" s="217"/>
      <c r="AJ101" s="91"/>
      <c r="AK101" s="91"/>
      <c r="AL101" s="91"/>
      <c r="AM101" s="91"/>
      <c r="AN101" s="218"/>
    </row>
    <row r="102" spans="2:40" ht="15.65" customHeight="1" x14ac:dyDescent="0.25">
      <c r="B102" s="46"/>
      <c r="C102" s="63" t="s">
        <v>309</v>
      </c>
      <c r="D102" s="47"/>
      <c r="E102" s="989"/>
      <c r="F102" s="990"/>
      <c r="G102" s="398"/>
      <c r="H102" s="399"/>
      <c r="I102" s="48"/>
      <c r="J102" s="47"/>
      <c r="K102" s="47"/>
      <c r="L102" s="47"/>
      <c r="M102" s="47"/>
      <c r="N102" s="106"/>
      <c r="O102" s="107">
        <f>IF(AND(E102="",F102="",G102="",H102=""),0,IFERROR(Z102*AC102,'Hidden Lists and Summaries'!$C$158))</f>
        <v>0</v>
      </c>
      <c r="P102" s="108" t="s">
        <v>90</v>
      </c>
      <c r="Q102" s="49"/>
      <c r="Y102" s="217" t="e">
        <f>VLOOKUP(F102,CO2Equivalence[],2,FALSE)</f>
        <v>#N/A</v>
      </c>
      <c r="Z102" s="91" t="e">
        <f t="shared" si="1"/>
        <v>#N/A</v>
      </c>
      <c r="AA102" s="510" t="e">
        <f>IF(F102='Key Values'!$B$221,VLOOKUP(Electrolysis!E102,IndustrialProcessEmissions[],3,FALSE),VLOOKUP(Electrolysis!E102,IndustrialProcessEmissions[],2,FALSE))</f>
        <v>#N/A</v>
      </c>
      <c r="AB102" s="284" t="e">
        <f>VLOOKUP(H102,massConv[#All], 3, FALSE)*G102</f>
        <v>#N/A</v>
      </c>
      <c r="AC102" s="300" t="e">
        <f t="shared" si="0"/>
        <v>#N/A</v>
      </c>
      <c r="AD102" s="91"/>
      <c r="AE102" s="91"/>
      <c r="AF102" s="218"/>
      <c r="AG102" s="91"/>
      <c r="AH102" s="91"/>
      <c r="AI102" s="217"/>
      <c r="AJ102" s="91"/>
      <c r="AK102" s="91"/>
      <c r="AL102" s="91"/>
      <c r="AM102" s="91"/>
      <c r="AN102" s="218"/>
    </row>
    <row r="103" spans="2:40" ht="15.65" customHeight="1" x14ac:dyDescent="0.25">
      <c r="B103" s="46"/>
      <c r="C103" s="63" t="s">
        <v>310</v>
      </c>
      <c r="D103" s="47"/>
      <c r="E103" s="989"/>
      <c r="F103" s="990"/>
      <c r="G103" s="398"/>
      <c r="H103" s="399"/>
      <c r="I103" s="48"/>
      <c r="J103" s="47"/>
      <c r="K103" s="47"/>
      <c r="L103" s="47"/>
      <c r="M103" s="47"/>
      <c r="N103" s="106"/>
      <c r="O103" s="107">
        <f>IF(AND(E103="",F103="",G103="",H103=""),0,IFERROR(Z103*AC103,'Hidden Lists and Summaries'!$C$158))</f>
        <v>0</v>
      </c>
      <c r="P103" s="108" t="s">
        <v>90</v>
      </c>
      <c r="Q103" s="49"/>
      <c r="Y103" s="217" t="e">
        <f>VLOOKUP(F103,CO2Equivalence[],2,FALSE)</f>
        <v>#N/A</v>
      </c>
      <c r="Z103" s="91" t="e">
        <f t="shared" si="1"/>
        <v>#N/A</v>
      </c>
      <c r="AA103" s="510" t="e">
        <f>IF(F103='Key Values'!$B$221,VLOOKUP(Electrolysis!E103,IndustrialProcessEmissions[],3,FALSE),VLOOKUP(Electrolysis!E103,IndustrialProcessEmissions[],2,FALSE))</f>
        <v>#N/A</v>
      </c>
      <c r="AB103" s="284" t="e">
        <f>VLOOKUP(H103,massConv[#All], 3, FALSE)*G103</f>
        <v>#N/A</v>
      </c>
      <c r="AC103" s="300" t="e">
        <f t="shared" si="0"/>
        <v>#N/A</v>
      </c>
      <c r="AD103" s="91"/>
      <c r="AE103" s="91"/>
      <c r="AF103" s="218"/>
      <c r="AG103" s="91"/>
      <c r="AH103" s="91"/>
      <c r="AI103" s="217"/>
      <c r="AJ103" s="91"/>
      <c r="AK103" s="91"/>
      <c r="AL103" s="91"/>
      <c r="AM103" s="91"/>
      <c r="AN103" s="218"/>
    </row>
    <row r="104" spans="2:40" ht="15.65" customHeight="1" x14ac:dyDescent="0.25">
      <c r="B104" s="46"/>
      <c r="C104" s="63" t="s">
        <v>311</v>
      </c>
      <c r="D104" s="47"/>
      <c r="E104" s="992"/>
      <c r="F104" s="993"/>
      <c r="G104" s="359"/>
      <c r="H104" s="400"/>
      <c r="I104" s="48"/>
      <c r="J104" s="47"/>
      <c r="K104" s="47"/>
      <c r="L104" s="47"/>
      <c r="M104" s="47"/>
      <c r="N104" s="106"/>
      <c r="O104" s="107">
        <f>IF(AND(E104="",F104="",G104="",H104=""),0,IFERROR(Z104*AC104,'Hidden Lists and Summaries'!$C$158))</f>
        <v>0</v>
      </c>
      <c r="P104" s="108" t="s">
        <v>90</v>
      </c>
      <c r="Q104" s="49"/>
      <c r="Y104" s="224" t="e">
        <f>VLOOKUP(F104,CO2Equivalence[],2,FALSE)</f>
        <v>#N/A</v>
      </c>
      <c r="Z104" s="185" t="e">
        <f t="shared" si="1"/>
        <v>#N/A</v>
      </c>
      <c r="AA104" s="511" t="e">
        <f>IF(F104='Key Values'!$B$221,VLOOKUP(Electrolysis!E104,IndustrialProcessEmissions[],3,FALSE),VLOOKUP(Electrolysis!E104,IndustrialProcessEmissions[],2,FALSE))</f>
        <v>#N/A</v>
      </c>
      <c r="AB104" s="325" t="e">
        <f>VLOOKUP(H104,massConv[#All], 3, FALSE)*G104</f>
        <v>#N/A</v>
      </c>
      <c r="AC104" s="301" t="e">
        <f t="shared" si="0"/>
        <v>#N/A</v>
      </c>
      <c r="AD104" s="91"/>
      <c r="AE104" s="91"/>
      <c r="AF104" s="218"/>
      <c r="AG104" s="91"/>
      <c r="AH104" s="91"/>
      <c r="AI104" s="217"/>
      <c r="AJ104" s="91"/>
      <c r="AK104" s="91"/>
      <c r="AL104" s="91"/>
      <c r="AM104" s="91"/>
      <c r="AN104" s="218"/>
    </row>
    <row r="105" spans="2:40" x14ac:dyDescent="0.25">
      <c r="B105" s="53"/>
      <c r="C105" s="54"/>
      <c r="D105" s="54"/>
      <c r="E105" s="54"/>
      <c r="F105" s="54"/>
      <c r="G105" s="54"/>
      <c r="H105" s="65"/>
      <c r="I105" s="65"/>
      <c r="J105" s="54"/>
      <c r="K105" s="54"/>
      <c r="L105" s="54"/>
      <c r="M105" s="54"/>
      <c r="N105" s="109" t="s">
        <v>120</v>
      </c>
      <c r="O105" s="72">
        <f>SUM(O98:O104)</f>
        <v>0</v>
      </c>
      <c r="P105" s="110" t="s">
        <v>90</v>
      </c>
      <c r="Q105" s="55"/>
      <c r="Y105" s="217"/>
      <c r="Z105" s="91"/>
      <c r="AA105" s="91"/>
      <c r="AB105" s="91"/>
      <c r="AC105" s="91"/>
      <c r="AD105" s="91"/>
      <c r="AE105" s="91"/>
      <c r="AF105" s="218"/>
      <c r="AG105" s="91"/>
      <c r="AH105" s="91"/>
      <c r="AI105" s="217"/>
      <c r="AJ105" s="91">
        <f>O105</f>
        <v>0</v>
      </c>
      <c r="AK105" s="91"/>
      <c r="AL105" s="91" t="str">
        <f>'Hidden Lists and Summaries'!$B$9</f>
        <v>Industrial Process</v>
      </c>
      <c r="AM105" s="91"/>
      <c r="AN105" s="218"/>
    </row>
    <row r="106" spans="2:40" s="70" customFormat="1" ht="15.65" customHeight="1" x14ac:dyDescent="0.25">
      <c r="B106" s="56"/>
      <c r="C106" s="56"/>
      <c r="D106" s="56"/>
      <c r="E106" s="196"/>
      <c r="F106" s="196"/>
      <c r="G106" s="56"/>
      <c r="H106" s="206"/>
      <c r="I106" s="68"/>
      <c r="J106" s="56"/>
      <c r="K106" s="196"/>
      <c r="L106" s="56"/>
      <c r="M106" s="56"/>
      <c r="N106" s="69"/>
      <c r="O106" s="56"/>
      <c r="P106" s="56"/>
      <c r="Q106" s="56"/>
      <c r="Y106" s="219"/>
      <c r="Z106" s="68"/>
      <c r="AA106" s="68"/>
      <c r="AB106" s="68"/>
      <c r="AC106" s="68"/>
      <c r="AD106" s="68"/>
      <c r="AE106" s="68"/>
      <c r="AF106" s="220"/>
      <c r="AG106" s="68"/>
      <c r="AH106" s="68"/>
      <c r="AI106" s="219"/>
      <c r="AJ106" s="68"/>
      <c r="AK106" s="68"/>
      <c r="AL106" s="68"/>
      <c r="AM106" s="68"/>
      <c r="AN106" s="220"/>
    </row>
    <row r="107" spans="2:40" s="70" customFormat="1" ht="15.65" customHeight="1" x14ac:dyDescent="0.25">
      <c r="B107" s="133"/>
      <c r="C107" s="134"/>
      <c r="D107" s="134"/>
      <c r="E107" s="134"/>
      <c r="F107" s="134"/>
      <c r="G107" s="134"/>
      <c r="H107" s="186"/>
      <c r="I107" s="186"/>
      <c r="J107" s="134"/>
      <c r="K107" s="134"/>
      <c r="L107" s="134"/>
      <c r="M107" s="134"/>
      <c r="N107" s="205"/>
      <c r="O107" s="134"/>
      <c r="P107" s="134"/>
      <c r="Q107" s="135"/>
      <c r="Y107" s="219"/>
      <c r="Z107" s="68"/>
      <c r="AA107" s="68"/>
      <c r="AB107" s="68"/>
      <c r="AC107" s="68"/>
      <c r="AD107" s="68"/>
      <c r="AE107" s="68"/>
      <c r="AF107" s="220"/>
      <c r="AG107" s="68"/>
      <c r="AH107" s="68"/>
      <c r="AI107" s="219"/>
      <c r="AJ107" s="68"/>
      <c r="AK107" s="68"/>
      <c r="AL107" s="68"/>
      <c r="AM107" s="68"/>
      <c r="AN107" s="220"/>
    </row>
    <row r="108" spans="2:40" s="70" customFormat="1" ht="15.65" customHeight="1" x14ac:dyDescent="0.25">
      <c r="B108" s="136"/>
      <c r="C108" s="137" t="s">
        <v>312</v>
      </c>
      <c r="D108" s="138"/>
      <c r="E108" s="138"/>
      <c r="F108" s="138"/>
      <c r="G108" s="138"/>
      <c r="H108" s="139"/>
      <c r="I108" s="139"/>
      <c r="J108" s="138"/>
      <c r="K108" s="138"/>
      <c r="L108" s="138"/>
      <c r="M108" s="138"/>
      <c r="N108" s="199"/>
      <c r="O108" s="138"/>
      <c r="P108" s="138"/>
      <c r="Q108" s="140"/>
      <c r="Y108" s="282" t="s">
        <v>94</v>
      </c>
      <c r="Z108" s="68"/>
      <c r="AA108" s="68"/>
      <c r="AB108" s="68"/>
      <c r="AC108" s="68"/>
      <c r="AD108" s="68"/>
      <c r="AE108" s="68"/>
      <c r="AF108" s="220"/>
      <c r="AG108" s="68"/>
      <c r="AH108" s="68"/>
      <c r="AI108" s="219"/>
      <c r="AJ108" s="68"/>
      <c r="AK108" s="68"/>
      <c r="AL108" s="68"/>
      <c r="AM108" s="68"/>
      <c r="AN108" s="220"/>
    </row>
    <row r="109" spans="2:40" s="70" customFormat="1" ht="15.65" customHeight="1" x14ac:dyDescent="0.25">
      <c r="B109" s="176"/>
      <c r="C109" s="177"/>
      <c r="D109" s="177"/>
      <c r="E109" s="131" t="s">
        <v>313</v>
      </c>
      <c r="F109" s="130" t="s">
        <v>314</v>
      </c>
      <c r="G109" s="130" t="s">
        <v>315</v>
      </c>
      <c r="H109" s="130" t="s">
        <v>316</v>
      </c>
      <c r="I109" s="175"/>
      <c r="J109" s="177"/>
      <c r="K109" s="177"/>
      <c r="L109" s="177"/>
      <c r="M109" s="177"/>
      <c r="N109" s="207"/>
      <c r="O109" s="130" t="s">
        <v>82</v>
      </c>
      <c r="P109" s="177"/>
      <c r="Q109" s="178"/>
      <c r="Y109" s="282" t="s">
        <v>128</v>
      </c>
      <c r="Z109" s="68"/>
      <c r="AA109" s="68"/>
      <c r="AB109" s="68"/>
      <c r="AC109" s="68"/>
      <c r="AD109" s="68"/>
      <c r="AE109" s="68"/>
      <c r="AF109" s="220"/>
      <c r="AG109" s="68"/>
      <c r="AH109" s="68"/>
      <c r="AI109" s="219"/>
      <c r="AJ109" s="68"/>
      <c r="AK109" s="68"/>
      <c r="AL109" s="68"/>
      <c r="AM109" s="68"/>
      <c r="AN109" s="220"/>
    </row>
    <row r="110" spans="2:40" s="70" customFormat="1" ht="15.65" customHeight="1" x14ac:dyDescent="0.25">
      <c r="B110" s="209"/>
      <c r="C110" s="200"/>
      <c r="D110" s="200"/>
      <c r="E110" s="200"/>
      <c r="F110" s="200"/>
      <c r="G110" s="200"/>
      <c r="H110" s="200"/>
      <c r="I110" s="210"/>
      <c r="J110" s="200"/>
      <c r="K110" s="200"/>
      <c r="L110" s="200"/>
      <c r="M110" s="200"/>
      <c r="N110" s="211"/>
      <c r="O110" s="200"/>
      <c r="P110" s="200"/>
      <c r="Q110" s="212"/>
      <c r="Y110" s="312"/>
      <c r="Z110" s="68"/>
      <c r="AA110" s="68"/>
      <c r="AB110" s="68"/>
      <c r="AC110" s="68"/>
      <c r="AD110" s="68"/>
      <c r="AE110" s="68"/>
      <c r="AF110" s="220"/>
      <c r="AG110" s="68"/>
      <c r="AH110" s="68"/>
      <c r="AI110" s="219"/>
      <c r="AJ110" s="68"/>
      <c r="AK110" s="68"/>
      <c r="AL110" s="68"/>
      <c r="AM110" s="68"/>
      <c r="AN110" s="220"/>
    </row>
    <row r="111" spans="2:40" s="70" customFormat="1" ht="15.65" customHeight="1" x14ac:dyDescent="0.25">
      <c r="B111" s="46"/>
      <c r="C111" s="52" t="s">
        <v>317</v>
      </c>
      <c r="D111" s="49"/>
      <c r="E111" s="401"/>
      <c r="F111" s="362"/>
      <c r="G111" s="362"/>
      <c r="H111" s="402"/>
      <c r="I111" s="163"/>
      <c r="J111" s="52"/>
      <c r="K111" s="52"/>
      <c r="L111" s="52"/>
      <c r="M111" s="49"/>
      <c r="N111" s="1040" t="str">
        <f>IF(F111="","",F111)</f>
        <v/>
      </c>
      <c r="O111" s="111">
        <f>IF(AND(F111="",G111="",H111=""),0,IFERROR(Y111,'Hidden Lists and Summaries'!$C$158))</f>
        <v>0</v>
      </c>
      <c r="P111" s="105" t="s">
        <v>90</v>
      </c>
      <c r="Q111" s="148"/>
      <c r="Y111" s="313" t="e">
        <f>G111*VLOOKUP(H111,massConv[#All],3,FALSE)</f>
        <v>#N/A</v>
      </c>
      <c r="Z111" s="68"/>
      <c r="AA111" s="68"/>
      <c r="AB111" s="68"/>
      <c r="AC111" s="68"/>
      <c r="AD111" s="68"/>
      <c r="AE111" s="68"/>
      <c r="AF111" s="220"/>
      <c r="AG111" s="68"/>
      <c r="AH111" s="68"/>
      <c r="AI111" s="219"/>
      <c r="AJ111" s="68">
        <f>O111</f>
        <v>0</v>
      </c>
      <c r="AK111" s="68"/>
      <c r="AL111" s="68">
        <f>F111</f>
        <v>0</v>
      </c>
      <c r="AM111" s="68"/>
      <c r="AN111" s="220" t="str">
        <f>IF(AL111='Hidden Lists and Summaries'!$B$5,"Other","")</f>
        <v/>
      </c>
    </row>
    <row r="112" spans="2:40" s="70" customFormat="1" ht="15.65" customHeight="1" x14ac:dyDescent="0.25">
      <c r="B112" s="46"/>
      <c r="C112" s="52" t="s">
        <v>318</v>
      </c>
      <c r="D112" s="49"/>
      <c r="E112" s="403"/>
      <c r="F112" s="366"/>
      <c r="G112" s="404"/>
      <c r="H112" s="405"/>
      <c r="I112" s="163"/>
      <c r="J112" s="52"/>
      <c r="K112" s="52"/>
      <c r="L112" s="52"/>
      <c r="M112" s="52"/>
      <c r="N112" s="1038" t="str">
        <f>IF(F112="","",F112)</f>
        <v/>
      </c>
      <c r="O112" s="107">
        <f>IF(AND(F112="",G112="",H112=""),0,IFERROR(Y112,'Hidden Lists and Summaries'!$C$158))</f>
        <v>0</v>
      </c>
      <c r="P112" s="107" t="s">
        <v>90</v>
      </c>
      <c r="Q112" s="148"/>
      <c r="Y112" s="313" t="e">
        <f>G112*VLOOKUP(H112,massConv[#All],3,FALSE)</f>
        <v>#N/A</v>
      </c>
      <c r="Z112" s="68"/>
      <c r="AA112" s="68"/>
      <c r="AB112" s="68"/>
      <c r="AC112" s="68"/>
      <c r="AD112" s="68"/>
      <c r="AE112" s="68"/>
      <c r="AF112" s="220"/>
      <c r="AG112" s="68"/>
      <c r="AH112" s="68"/>
      <c r="AI112" s="219"/>
      <c r="AJ112" s="68">
        <f>O112</f>
        <v>0</v>
      </c>
      <c r="AK112" s="68"/>
      <c r="AL112" s="68">
        <f>F112</f>
        <v>0</v>
      </c>
      <c r="AM112" s="68"/>
      <c r="AN112" s="220" t="str">
        <f>IF(AL112='Hidden Lists and Summaries'!$B$5,"Other","")</f>
        <v/>
      </c>
    </row>
    <row r="113" spans="2:40" s="70" customFormat="1" ht="15.65" customHeight="1" x14ac:dyDescent="0.25">
      <c r="B113" s="46"/>
      <c r="C113" s="52" t="s">
        <v>319</v>
      </c>
      <c r="D113" s="52"/>
      <c r="E113" s="368"/>
      <c r="F113" s="366"/>
      <c r="G113" s="366"/>
      <c r="H113" s="406"/>
      <c r="I113" s="163"/>
      <c r="J113" s="52"/>
      <c r="K113" s="52"/>
      <c r="L113" s="52"/>
      <c r="M113" s="49"/>
      <c r="N113" s="1039" t="str">
        <f t="shared" ref="N113:N114" si="2">IF(F113="","",F113)</f>
        <v/>
      </c>
      <c r="O113" s="107">
        <f>IF(AND(F113="",G113="",H113=""),0,IFERROR(Y113,'Hidden Lists and Summaries'!$C$158))</f>
        <v>0</v>
      </c>
      <c r="P113" s="107" t="s">
        <v>90</v>
      </c>
      <c r="Q113" s="148"/>
      <c r="Y113" s="313" t="e">
        <f>G113*VLOOKUP(H113,massConv[#All],3,FALSE)</f>
        <v>#N/A</v>
      </c>
      <c r="Z113" s="68"/>
      <c r="AA113" s="68"/>
      <c r="AB113" s="68"/>
      <c r="AC113" s="68"/>
      <c r="AD113" s="68"/>
      <c r="AE113" s="68"/>
      <c r="AF113" s="220"/>
      <c r="AG113" s="68"/>
      <c r="AH113" s="68"/>
      <c r="AI113" s="219"/>
      <c r="AJ113" s="68">
        <f>O113</f>
        <v>0</v>
      </c>
      <c r="AK113" s="68"/>
      <c r="AL113" s="68">
        <f>F113</f>
        <v>0</v>
      </c>
      <c r="AM113" s="68"/>
      <c r="AN113" s="220" t="str">
        <f>IF(AL113='Hidden Lists and Summaries'!$B$5,"Other","")</f>
        <v/>
      </c>
    </row>
    <row r="114" spans="2:40" s="70" customFormat="1" ht="15.65" customHeight="1" x14ac:dyDescent="0.25">
      <c r="B114" s="46"/>
      <c r="C114" s="52" t="s">
        <v>320</v>
      </c>
      <c r="D114" s="52"/>
      <c r="E114" s="407"/>
      <c r="F114" s="408"/>
      <c r="G114" s="371"/>
      <c r="H114" s="409"/>
      <c r="I114" s="163"/>
      <c r="J114" s="52"/>
      <c r="K114" s="52"/>
      <c r="L114" s="52"/>
      <c r="M114" s="52"/>
      <c r="N114" s="1038" t="str">
        <f t="shared" si="2"/>
        <v/>
      </c>
      <c r="O114" s="184">
        <f>IF(AND(F114="",G114="",H114=""),0,IFERROR(Y114,'Hidden Lists and Summaries'!$C$158))</f>
        <v>0</v>
      </c>
      <c r="P114" s="195" t="s">
        <v>90</v>
      </c>
      <c r="Q114" s="148"/>
      <c r="Y114" s="314" t="e">
        <f>G114*VLOOKUP(H114,massConv[#All],3,FALSE)</f>
        <v>#N/A</v>
      </c>
      <c r="Z114" s="68"/>
      <c r="AA114" s="68"/>
      <c r="AB114" s="68"/>
      <c r="AC114" s="68"/>
      <c r="AD114" s="68"/>
      <c r="AE114" s="68"/>
      <c r="AF114" s="220"/>
      <c r="AG114" s="68"/>
      <c r="AH114" s="68"/>
      <c r="AI114" s="219"/>
      <c r="AJ114" s="68">
        <f>O114</f>
        <v>0</v>
      </c>
      <c r="AK114" s="68"/>
      <c r="AL114" s="68">
        <f>F114</f>
        <v>0</v>
      </c>
      <c r="AM114" s="68"/>
      <c r="AN114" s="220" t="str">
        <f>IF(AL114='Hidden Lists and Summaries'!$B$5,"Other","")</f>
        <v/>
      </c>
    </row>
    <row r="115" spans="2:40" s="70" customFormat="1" x14ac:dyDescent="0.25">
      <c r="B115" s="53"/>
      <c r="C115" s="54"/>
      <c r="D115" s="54"/>
      <c r="E115" s="165"/>
      <c r="F115" s="165"/>
      <c r="G115" s="54"/>
      <c r="H115" s="213"/>
      <c r="I115" s="213"/>
      <c r="J115" s="54"/>
      <c r="K115" s="54"/>
      <c r="L115" s="54"/>
      <c r="M115" s="54"/>
      <c r="N115" s="203" t="s">
        <v>120</v>
      </c>
      <c r="O115" s="204">
        <f>SUM(O111:O114)</f>
        <v>0</v>
      </c>
      <c r="P115" s="147" t="s">
        <v>90</v>
      </c>
      <c r="Q115" s="55"/>
      <c r="Y115" s="219"/>
      <c r="Z115" s="68"/>
      <c r="AA115" s="68"/>
      <c r="AB115" s="68"/>
      <c r="AC115" s="68"/>
      <c r="AD115" s="68"/>
      <c r="AE115" s="68"/>
      <c r="AF115" s="220"/>
      <c r="AG115" s="68"/>
      <c r="AH115" s="68"/>
      <c r="AI115" s="221"/>
      <c r="AJ115" s="222"/>
      <c r="AK115" s="222"/>
      <c r="AL115" s="222"/>
      <c r="AM115" s="222"/>
      <c r="AN115" s="223"/>
    </row>
    <row r="116" spans="2:40" ht="15.65" customHeight="1" x14ac:dyDescent="0.25">
      <c r="B116" s="71"/>
      <c r="C116" s="71"/>
      <c r="D116" s="71"/>
      <c r="E116" s="71"/>
      <c r="F116" s="71"/>
      <c r="G116" s="71"/>
      <c r="H116" s="71"/>
      <c r="I116" s="71"/>
      <c r="J116" s="71"/>
      <c r="K116" s="71"/>
      <c r="L116" s="71"/>
      <c r="M116" s="71"/>
      <c r="N116" s="71"/>
      <c r="O116" s="208"/>
      <c r="P116" s="208"/>
      <c r="Q116" s="71"/>
      <c r="Y116" s="217"/>
      <c r="Z116" s="91"/>
      <c r="AA116" s="91"/>
      <c r="AB116" s="91"/>
      <c r="AC116" s="91"/>
      <c r="AD116" s="91"/>
      <c r="AE116" s="91"/>
      <c r="AF116" s="218"/>
    </row>
    <row r="117" spans="2:40" ht="15.65" customHeight="1" x14ac:dyDescent="0.25">
      <c r="B117" s="121"/>
      <c r="C117" s="122"/>
      <c r="D117" s="122"/>
      <c r="E117" s="122"/>
      <c r="F117" s="122"/>
      <c r="G117" s="122"/>
      <c r="H117" s="122"/>
      <c r="I117" s="122"/>
      <c r="J117" s="122"/>
      <c r="K117" s="122"/>
      <c r="L117" s="122"/>
      <c r="M117" s="122"/>
      <c r="N117" s="122"/>
      <c r="O117" s="122"/>
      <c r="P117" s="122"/>
      <c r="Q117" s="123"/>
      <c r="Y117" s="217"/>
      <c r="Z117" s="91"/>
      <c r="AA117" s="91"/>
      <c r="AB117" s="91"/>
      <c r="AC117" s="91"/>
      <c r="AD117" s="91"/>
      <c r="AE117" s="91"/>
      <c r="AF117" s="218"/>
    </row>
    <row r="118" spans="2:40" ht="15.65" customHeight="1" x14ac:dyDescent="0.25">
      <c r="B118" s="124"/>
      <c r="C118" s="125" t="s">
        <v>1322</v>
      </c>
      <c r="D118" s="126"/>
      <c r="E118" s="126"/>
      <c r="F118" s="126"/>
      <c r="G118" s="126"/>
      <c r="H118" s="126"/>
      <c r="I118" s="126"/>
      <c r="J118" s="126"/>
      <c r="K118" s="126"/>
      <c r="L118" s="126"/>
      <c r="M118" s="126"/>
      <c r="N118" s="126"/>
      <c r="O118" s="126"/>
      <c r="P118" s="126"/>
      <c r="Q118" s="127"/>
      <c r="Y118" s="217"/>
      <c r="Z118" s="91"/>
      <c r="AA118" s="91"/>
      <c r="AB118" s="91"/>
      <c r="AC118" s="91"/>
      <c r="AD118" s="91"/>
      <c r="AE118" s="91"/>
      <c r="AF118" s="218"/>
    </row>
    <row r="119" spans="2:40" ht="15.65" customHeight="1" x14ac:dyDescent="0.25">
      <c r="B119" s="171"/>
      <c r="C119" s="153"/>
      <c r="D119" s="153"/>
      <c r="E119" s="130" t="s">
        <v>337</v>
      </c>
      <c r="F119" s="130" t="s">
        <v>184</v>
      </c>
      <c r="G119" s="172"/>
      <c r="H119" s="131"/>
      <c r="I119" s="131"/>
      <c r="J119" s="172"/>
      <c r="K119" s="172"/>
      <c r="L119" s="172"/>
      <c r="M119" s="172"/>
      <c r="N119" s="172"/>
      <c r="O119" s="130" t="s">
        <v>323</v>
      </c>
      <c r="P119" s="172"/>
      <c r="Q119" s="173"/>
      <c r="Y119" s="285" t="s">
        <v>109</v>
      </c>
      <c r="Z119" s="283" t="s">
        <v>324</v>
      </c>
      <c r="AA119" s="91"/>
      <c r="AB119" s="91"/>
      <c r="AC119" s="91"/>
      <c r="AD119" s="91"/>
      <c r="AE119" s="91"/>
      <c r="AF119" s="218"/>
    </row>
    <row r="120" spans="2:40" ht="15.65" customHeight="1" x14ac:dyDescent="0.25">
      <c r="B120" s="46"/>
      <c r="C120" s="47"/>
      <c r="D120" s="47"/>
      <c r="E120" s="47"/>
      <c r="F120" s="47"/>
      <c r="G120" s="47"/>
      <c r="H120" s="48"/>
      <c r="I120" s="48"/>
      <c r="J120" s="47"/>
      <c r="K120" s="47"/>
      <c r="L120" s="47"/>
      <c r="M120" s="47"/>
      <c r="N120" s="1041"/>
      <c r="O120" s="900" t="s">
        <v>325</v>
      </c>
      <c r="P120" s="898"/>
      <c r="Q120" s="49"/>
      <c r="Y120" s="520" t="s">
        <v>84</v>
      </c>
      <c r="Z120" s="315" t="s">
        <v>326</v>
      </c>
      <c r="AA120" s="91"/>
      <c r="AB120" s="91"/>
      <c r="AC120" s="91"/>
      <c r="AD120" s="91"/>
      <c r="AE120" s="91"/>
      <c r="AF120" s="218"/>
    </row>
    <row r="121" spans="2:40" ht="15.65" customHeight="1" x14ac:dyDescent="0.25">
      <c r="B121" s="46"/>
      <c r="C121" s="63" t="s">
        <v>327</v>
      </c>
      <c r="D121" s="47"/>
      <c r="E121" s="410"/>
      <c r="F121" s="908" t="s">
        <v>86</v>
      </c>
      <c r="G121" s="47"/>
      <c r="H121" s="48"/>
      <c r="I121" s="48"/>
      <c r="J121" s="47"/>
      <c r="K121" s="47"/>
      <c r="L121" s="47"/>
      <c r="M121" s="47"/>
      <c r="N121" s="106"/>
      <c r="O121" s="107">
        <f>IF(E121="",0,IFERROR(Y121*Z121,'Hidden Lists and Summaries'!$C$158))</f>
        <v>0</v>
      </c>
      <c r="P121" s="108" t="s">
        <v>90</v>
      </c>
      <c r="Q121" s="49"/>
      <c r="Y121" s="298">
        <f>VLOOKUP(F121,EnergyConversionTable[#All], 3, FALSE)*E121</f>
        <v>0</v>
      </c>
      <c r="Z121" s="225">
        <f>'Key Values'!$C$149</f>
        <v>0.95499999999999996</v>
      </c>
      <c r="AA121" s="91"/>
      <c r="AB121" s="91"/>
      <c r="AC121" s="91"/>
      <c r="AD121" s="91"/>
      <c r="AE121" s="91"/>
      <c r="AF121" s="218"/>
    </row>
    <row r="122" spans="2:40" ht="15.65" customHeight="1" x14ac:dyDescent="0.25">
      <c r="B122" s="53"/>
      <c r="C122" s="54"/>
      <c r="D122" s="54"/>
      <c r="E122" s="54"/>
      <c r="F122" s="54"/>
      <c r="G122" s="54"/>
      <c r="H122" s="65"/>
      <c r="I122" s="65"/>
      <c r="J122" s="54"/>
      <c r="K122" s="54"/>
      <c r="L122" s="54"/>
      <c r="M122" s="54"/>
      <c r="N122" s="109" t="s">
        <v>120</v>
      </c>
      <c r="O122" s="72">
        <f>SUM(O121:O121)</f>
        <v>0</v>
      </c>
      <c r="P122" s="110" t="s">
        <v>90</v>
      </c>
      <c r="Q122" s="55"/>
      <c r="Y122" s="217"/>
      <c r="Z122" s="91"/>
      <c r="AA122" s="91"/>
      <c r="AB122" s="91"/>
      <c r="AC122" s="91"/>
      <c r="AD122" s="91"/>
      <c r="AE122" s="91"/>
      <c r="AF122" s="218"/>
    </row>
    <row r="123" spans="2:40" ht="15.65" customHeight="1" x14ac:dyDescent="0.25">
      <c r="B123" s="71"/>
      <c r="C123" s="71"/>
      <c r="D123" s="71"/>
      <c r="E123" s="71"/>
      <c r="F123" s="71"/>
      <c r="G123" s="71"/>
      <c r="H123" s="71"/>
      <c r="I123" s="71"/>
      <c r="J123" s="71"/>
      <c r="K123" s="71"/>
      <c r="L123" s="71"/>
      <c r="M123" s="71"/>
      <c r="N123" s="71"/>
      <c r="O123" s="71"/>
      <c r="P123" s="71"/>
      <c r="Q123" s="71"/>
      <c r="Y123" s="217"/>
      <c r="Z123" s="91"/>
      <c r="AA123" s="91"/>
      <c r="AB123" s="91"/>
      <c r="AC123" s="91"/>
      <c r="AD123" s="91"/>
      <c r="AE123" s="91"/>
      <c r="AF123" s="218"/>
    </row>
    <row r="124" spans="2:40" ht="15.65" customHeight="1" x14ac:dyDescent="0.25">
      <c r="B124" s="121"/>
      <c r="C124" s="122"/>
      <c r="D124" s="122"/>
      <c r="E124" s="122"/>
      <c r="F124" s="122"/>
      <c r="G124" s="122"/>
      <c r="H124" s="122"/>
      <c r="I124" s="122"/>
      <c r="J124" s="122"/>
      <c r="K124" s="122"/>
      <c r="L124" s="122"/>
      <c r="M124" s="122"/>
      <c r="N124" s="122"/>
      <c r="O124" s="122"/>
      <c r="P124" s="122"/>
      <c r="Q124" s="123"/>
      <c r="Y124" s="217"/>
      <c r="Z124" s="91"/>
      <c r="AA124" s="91"/>
      <c r="AB124" s="91"/>
      <c r="AC124" s="91"/>
      <c r="AD124" s="91"/>
      <c r="AE124" s="91"/>
      <c r="AF124" s="218"/>
    </row>
    <row r="125" spans="2:40" ht="15.65" customHeight="1" x14ac:dyDescent="0.25">
      <c r="B125" s="124"/>
      <c r="C125" s="125" t="s">
        <v>1323</v>
      </c>
      <c r="D125" s="126"/>
      <c r="E125" s="126"/>
      <c r="F125" s="126"/>
      <c r="G125" s="126"/>
      <c r="H125" s="126"/>
      <c r="I125" s="126"/>
      <c r="J125" s="126"/>
      <c r="K125" s="126"/>
      <c r="L125" s="126"/>
      <c r="M125" s="126"/>
      <c r="N125" s="126"/>
      <c r="O125" s="126"/>
      <c r="P125" s="126"/>
      <c r="Q125" s="127"/>
      <c r="Y125" s="217"/>
      <c r="Z125" s="91"/>
      <c r="AA125" s="91"/>
      <c r="AB125" s="91"/>
      <c r="AC125" s="91"/>
      <c r="AD125" s="91"/>
      <c r="AE125" s="91"/>
      <c r="AF125" s="218"/>
    </row>
    <row r="126" spans="2:40" ht="15.65" customHeight="1" x14ac:dyDescent="0.25">
      <c r="B126" s="171"/>
      <c r="C126" s="153"/>
      <c r="D126" s="153"/>
      <c r="E126" s="242" t="s">
        <v>336</v>
      </c>
      <c r="F126" s="130" t="s">
        <v>337</v>
      </c>
      <c r="G126" s="130" t="s">
        <v>184</v>
      </c>
      <c r="H126" s="130" t="s">
        <v>263</v>
      </c>
      <c r="I126" s="131"/>
      <c r="J126" s="172"/>
      <c r="K126" s="172"/>
      <c r="L126" s="172"/>
      <c r="M126" s="172"/>
      <c r="N126" s="172"/>
      <c r="O126" s="130" t="s">
        <v>323</v>
      </c>
      <c r="P126" s="172"/>
      <c r="Q126" s="173"/>
      <c r="Y126" s="282" t="s">
        <v>77</v>
      </c>
      <c r="Z126" s="73" t="s">
        <v>330</v>
      </c>
      <c r="AA126" s="283" t="s">
        <v>331</v>
      </c>
      <c r="AB126" s="283" t="s">
        <v>123</v>
      </c>
      <c r="AC126" s="283" t="s">
        <v>264</v>
      </c>
      <c r="AD126" s="283" t="s">
        <v>265</v>
      </c>
      <c r="AE126" s="91"/>
      <c r="AF126" s="218"/>
    </row>
    <row r="127" spans="2:40" ht="15.65" customHeight="1" x14ac:dyDescent="0.25">
      <c r="B127" s="46"/>
      <c r="C127" s="47"/>
      <c r="D127" s="47"/>
      <c r="E127" s="75"/>
      <c r="F127" s="47"/>
      <c r="G127" s="47"/>
      <c r="H127" s="47"/>
      <c r="I127" s="48"/>
      <c r="J127" s="47"/>
      <c r="K127" s="47"/>
      <c r="L127" s="47"/>
      <c r="M127" s="47"/>
      <c r="N127" s="1041"/>
      <c r="O127" s="900" t="s">
        <v>325</v>
      </c>
      <c r="P127" s="898"/>
      <c r="Q127" s="49"/>
      <c r="Y127" s="282" t="s">
        <v>273</v>
      </c>
      <c r="Z127" s="74" t="s">
        <v>128</v>
      </c>
      <c r="AA127" s="290" t="s">
        <v>128</v>
      </c>
      <c r="AB127" s="282" t="s">
        <v>272</v>
      </c>
      <c r="AC127" s="283" t="s">
        <v>270</v>
      </c>
      <c r="AD127" s="283" t="s">
        <v>270</v>
      </c>
      <c r="AE127" s="91"/>
      <c r="AF127" s="218"/>
    </row>
    <row r="128" spans="2:40" ht="15.65" customHeight="1" x14ac:dyDescent="0.25">
      <c r="B128" s="46"/>
      <c r="C128" s="63" t="s">
        <v>332</v>
      </c>
      <c r="D128" s="237"/>
      <c r="E128" s="411"/>
      <c r="F128" s="357"/>
      <c r="G128" s="412"/>
      <c r="H128" s="994"/>
      <c r="I128" s="48"/>
      <c r="J128" s="47"/>
      <c r="K128" s="47"/>
      <c r="L128" s="47"/>
      <c r="M128" s="47"/>
      <c r="N128" s="106"/>
      <c r="O128" s="107">
        <f>IF(AND(E128="",F128="",G128="",H128=""),0,IFERROR(Y128*Z128,'Hidden Lists and Summaries'!$C$158))</f>
        <v>0</v>
      </c>
      <c r="P128" s="108" t="s">
        <v>90</v>
      </c>
      <c r="Q128" s="49"/>
      <c r="Y128" s="514" t="e">
        <f>(AC128+AD128)*AB128</f>
        <v>#N/A</v>
      </c>
      <c r="Z128" s="317" t="e">
        <f>VLOOKUP(G128,massConv[#All], 3, FALSE)*F128</f>
        <v>#N/A</v>
      </c>
      <c r="AA128" s="317" t="e">
        <f>VLOOKUP(G128,massConv[#All], 3, FALSE)*E128</f>
        <v>#N/A</v>
      </c>
      <c r="AB128" s="104" t="e">
        <f>VLOOKUP(H128,SteamProperties[#All],6,FALSE)</f>
        <v>#N/A</v>
      </c>
      <c r="AC128" s="104">
        <f>'Key Values'!$C$209</f>
        <v>51.53</v>
      </c>
      <c r="AD128" s="278">
        <f>IFERROR(VLOOKUP(iq_location,GaseousFuelEmbodiedEmissions[#All],IF(iq_metro,2,3),FALSE),0)</f>
        <v>0</v>
      </c>
      <c r="AE128" s="91"/>
      <c r="AF128" s="218"/>
    </row>
    <row r="129" spans="2:32" ht="15.65" customHeight="1" x14ac:dyDescent="0.25">
      <c r="B129" s="46"/>
      <c r="C129" s="63" t="s">
        <v>333</v>
      </c>
      <c r="D129" s="237"/>
      <c r="E129" s="413"/>
      <c r="F129" s="398"/>
      <c r="G129" s="414"/>
      <c r="H129" s="995"/>
      <c r="I129" s="48"/>
      <c r="J129" s="47"/>
      <c r="K129" s="47"/>
      <c r="L129" s="47"/>
      <c r="M129" s="47"/>
      <c r="N129" s="106"/>
      <c r="O129" s="107">
        <f>IF(AND(E129="",F129="",G129="",H129=""),0,IFERROR(Y129*Z129,'Hidden Lists and Summaries'!$C$158))</f>
        <v>0</v>
      </c>
      <c r="P129" s="108" t="s">
        <v>90</v>
      </c>
      <c r="Q129" s="49"/>
      <c r="Y129" s="515" t="e">
        <f t="shared" ref="Y129:Y130" si="3">(AC129+AD129)*AB129</f>
        <v>#N/A</v>
      </c>
      <c r="Z129" s="83" t="e">
        <f>VLOOKUP(G129,massConv[#All], 3, FALSE)*F129</f>
        <v>#N/A</v>
      </c>
      <c r="AA129" s="83" t="e">
        <f>VLOOKUP(G129,massConv[#All], 3, FALSE)*E129</f>
        <v>#N/A</v>
      </c>
      <c r="AB129" s="91" t="e">
        <f>VLOOKUP(H129,SteamProperties[#All],6,FALSE)</f>
        <v>#N/A</v>
      </c>
      <c r="AC129" s="91">
        <f>'Key Values'!$C$209</f>
        <v>51.53</v>
      </c>
      <c r="AD129" s="218">
        <f>IFERROR(VLOOKUP(iq_location,GaseousFuelEmbodiedEmissions[#All],IF(iq_metro,2,3),FALSE),0)</f>
        <v>0</v>
      </c>
      <c r="AE129" s="91"/>
      <c r="AF129" s="218"/>
    </row>
    <row r="130" spans="2:32" ht="15.65" customHeight="1" x14ac:dyDescent="0.25">
      <c r="B130" s="46"/>
      <c r="C130" s="63" t="s">
        <v>334</v>
      </c>
      <c r="D130" s="237"/>
      <c r="E130" s="415"/>
      <c r="F130" s="360"/>
      <c r="G130" s="416"/>
      <c r="H130" s="996"/>
      <c r="I130" s="48"/>
      <c r="J130" s="47"/>
      <c r="K130" s="47"/>
      <c r="L130" s="47"/>
      <c r="M130" s="47"/>
      <c r="N130" s="106"/>
      <c r="O130" s="339">
        <f>IF(AND(E130="",F130="",G130="",H130=""),0,IFERROR(Y130*Z130,'Hidden Lists and Summaries'!$C$158))</f>
        <v>0</v>
      </c>
      <c r="P130" s="108" t="s">
        <v>90</v>
      </c>
      <c r="Q130" s="49"/>
      <c r="Y130" s="516" t="e">
        <f t="shared" si="3"/>
        <v>#N/A</v>
      </c>
      <c r="Z130" s="318" t="e">
        <f>VLOOKUP(G130,massConv[#All], 3, FALSE)*F130</f>
        <v>#N/A</v>
      </c>
      <c r="AA130" s="318" t="e">
        <f>VLOOKUP(G130,massConv[#All], 3, FALSE)*E130</f>
        <v>#N/A</v>
      </c>
      <c r="AB130" s="185" t="e">
        <f>VLOOKUP(H130,SteamProperties[#All],6,FALSE)</f>
        <v>#N/A</v>
      </c>
      <c r="AC130" s="185">
        <f>'Key Values'!$C$209</f>
        <v>51.53</v>
      </c>
      <c r="AD130" s="225">
        <f>IFERROR(VLOOKUP(iq_location,GaseousFuelEmbodiedEmissions[#All],IF(iq_metro,2,3),FALSE),0)</f>
        <v>0</v>
      </c>
      <c r="AE130" s="91"/>
      <c r="AF130" s="218"/>
    </row>
    <row r="131" spans="2:32" ht="15.65" customHeight="1" x14ac:dyDescent="0.25">
      <c r="B131" s="53"/>
      <c r="C131" s="54"/>
      <c r="D131" s="54"/>
      <c r="E131" s="54"/>
      <c r="F131" s="54"/>
      <c r="G131" s="54"/>
      <c r="H131" s="65"/>
      <c r="I131" s="65"/>
      <c r="J131" s="54"/>
      <c r="K131" s="54"/>
      <c r="L131" s="54"/>
      <c r="M131" s="54"/>
      <c r="N131" s="109" t="s">
        <v>120</v>
      </c>
      <c r="O131" s="72">
        <f>SUM(O128:O130)</f>
        <v>0</v>
      </c>
      <c r="P131" s="110" t="s">
        <v>90</v>
      </c>
      <c r="Q131" s="55"/>
      <c r="Y131" s="217"/>
      <c r="Z131" s="91"/>
      <c r="AA131" s="91"/>
      <c r="AB131" s="91"/>
      <c r="AC131" s="91"/>
      <c r="AD131" s="91"/>
      <c r="AE131" s="91"/>
      <c r="AF131" s="218"/>
    </row>
    <row r="132" spans="2:32" ht="15.65" customHeight="1" x14ac:dyDescent="0.25">
      <c r="B132" s="71"/>
      <c r="C132" s="71"/>
      <c r="D132" s="71"/>
      <c r="E132" s="71"/>
      <c r="F132" s="71"/>
      <c r="G132" s="71"/>
      <c r="H132" s="71"/>
      <c r="I132" s="71"/>
      <c r="J132" s="71"/>
      <c r="K132" s="71"/>
      <c r="L132" s="71"/>
      <c r="M132" s="71"/>
      <c r="N132" s="71"/>
      <c r="O132" s="71"/>
      <c r="P132" s="71"/>
      <c r="Q132" s="71"/>
      <c r="Y132" s="217"/>
      <c r="Z132" s="91"/>
      <c r="AA132" s="91"/>
      <c r="AB132" s="91"/>
      <c r="AC132" s="91"/>
      <c r="AD132" s="91"/>
      <c r="AE132" s="91"/>
      <c r="AF132" s="218"/>
    </row>
    <row r="133" spans="2:32" ht="15.65" customHeight="1" x14ac:dyDescent="0.25">
      <c r="B133" s="121"/>
      <c r="C133" s="122"/>
      <c r="D133" s="122"/>
      <c r="E133" s="122"/>
      <c r="F133" s="122"/>
      <c r="G133" s="122"/>
      <c r="H133" s="122"/>
      <c r="I133" s="122"/>
      <c r="J133" s="122"/>
      <c r="K133" s="122"/>
      <c r="L133" s="122"/>
      <c r="M133" s="122"/>
      <c r="N133" s="122"/>
      <c r="O133" s="122"/>
      <c r="P133" s="122"/>
      <c r="Q133" s="123"/>
      <c r="Y133" s="217"/>
      <c r="Z133" s="91"/>
      <c r="AA133" s="91"/>
      <c r="AB133" s="91"/>
      <c r="AC133" s="91"/>
      <c r="AD133" s="91"/>
      <c r="AE133" s="91"/>
      <c r="AF133" s="218"/>
    </row>
    <row r="134" spans="2:32" ht="15.65" customHeight="1" x14ac:dyDescent="0.25">
      <c r="B134" s="124"/>
      <c r="C134" s="125" t="s">
        <v>1324</v>
      </c>
      <c r="D134" s="126"/>
      <c r="E134" s="126"/>
      <c r="F134" s="126"/>
      <c r="G134" s="126"/>
      <c r="H134" s="126"/>
      <c r="I134" s="126"/>
      <c r="J134" s="126"/>
      <c r="K134" s="126"/>
      <c r="L134" s="126"/>
      <c r="M134" s="126"/>
      <c r="N134" s="126"/>
      <c r="O134" s="126"/>
      <c r="P134" s="126"/>
      <c r="Q134" s="127"/>
      <c r="Y134" s="217"/>
      <c r="Z134" s="91"/>
      <c r="AA134" s="91"/>
      <c r="AB134" s="91"/>
      <c r="AC134" s="91"/>
      <c r="AD134" s="91"/>
      <c r="AE134" s="91"/>
      <c r="AF134" s="218"/>
    </row>
    <row r="135" spans="2:32" ht="15.65" customHeight="1" x14ac:dyDescent="0.25">
      <c r="B135" s="171"/>
      <c r="C135" s="153"/>
      <c r="D135" s="153"/>
      <c r="E135" s="141" t="s">
        <v>336</v>
      </c>
      <c r="F135" s="130" t="s">
        <v>337</v>
      </c>
      <c r="G135" s="130" t="s">
        <v>184</v>
      </c>
      <c r="H135" s="131"/>
      <c r="I135" s="131"/>
      <c r="J135" s="172"/>
      <c r="K135" s="172"/>
      <c r="L135" s="172"/>
      <c r="M135" s="172"/>
      <c r="N135" s="172"/>
      <c r="O135" s="130" t="s">
        <v>323</v>
      </c>
      <c r="P135" s="172"/>
      <c r="Q135" s="173"/>
      <c r="Y135" s="296" t="s">
        <v>338</v>
      </c>
      <c r="Z135" s="283" t="s">
        <v>339</v>
      </c>
      <c r="AA135" s="283" t="s">
        <v>324</v>
      </c>
      <c r="AB135" s="283" t="s">
        <v>340</v>
      </c>
      <c r="AC135" s="91"/>
      <c r="AD135" s="91"/>
      <c r="AE135" s="91"/>
      <c r="AF135" s="218"/>
    </row>
    <row r="136" spans="2:32" ht="15.65" customHeight="1" x14ac:dyDescent="0.25">
      <c r="B136" s="46"/>
      <c r="C136" s="47"/>
      <c r="D136" s="47"/>
      <c r="E136" s="243"/>
      <c r="F136" s="47"/>
      <c r="G136" s="47"/>
      <c r="H136" s="48"/>
      <c r="I136" s="48"/>
      <c r="J136" s="47"/>
      <c r="K136" s="47"/>
      <c r="L136" s="47"/>
      <c r="M136" s="47"/>
      <c r="N136" s="1041"/>
      <c r="O136" s="900" t="s">
        <v>325</v>
      </c>
      <c r="P136" s="898"/>
      <c r="Q136" s="49"/>
      <c r="Y136" s="286" t="s">
        <v>128</v>
      </c>
      <c r="Z136" s="283" t="s">
        <v>341</v>
      </c>
      <c r="AA136" s="283" t="s">
        <v>326</v>
      </c>
      <c r="AB136" s="283" t="s">
        <v>128</v>
      </c>
      <c r="AC136" s="91"/>
      <c r="AD136" s="91"/>
      <c r="AE136" s="91"/>
      <c r="AF136" s="218"/>
    </row>
    <row r="137" spans="2:32" ht="15.65" customHeight="1" x14ac:dyDescent="0.25">
      <c r="B137" s="46"/>
      <c r="C137" s="63" t="s">
        <v>342</v>
      </c>
      <c r="D137" s="47"/>
      <c r="E137" s="417"/>
      <c r="F137" s="418"/>
      <c r="G137" s="419"/>
      <c r="H137" s="48"/>
      <c r="I137" s="48"/>
      <c r="J137" s="47"/>
      <c r="K137" s="47"/>
      <c r="L137" s="47"/>
      <c r="M137" s="47"/>
      <c r="N137" s="106"/>
      <c r="O137" s="107">
        <f>IF(AND(E137="",F137="",G137=""),0,IFERROR(Y137*Z137*AA137,'Hidden Lists and Summaries'!$C$158))</f>
        <v>0</v>
      </c>
      <c r="P137" s="108" t="s">
        <v>90</v>
      </c>
      <c r="Q137" s="49"/>
      <c r="Y137" s="324" t="e">
        <f>VLOOKUP(G137,massConv[#All], 3, FALSE)*F137</f>
        <v>#N/A</v>
      </c>
      <c r="Z137" s="513">
        <f>'Key Values'!$C$238</f>
        <v>0.245</v>
      </c>
      <c r="AA137" s="268">
        <f>'Key Values'!$C$149</f>
        <v>0.95499999999999996</v>
      </c>
      <c r="AB137" s="341" t="e">
        <f>VLOOKUP(G137,massConv[#All], 3, FALSE)*E137</f>
        <v>#N/A</v>
      </c>
      <c r="AC137" s="91"/>
      <c r="AD137" s="91"/>
      <c r="AE137" s="91"/>
      <c r="AF137" s="218"/>
    </row>
    <row r="138" spans="2:32" ht="15.65" customHeight="1" x14ac:dyDescent="0.25">
      <c r="B138" s="53"/>
      <c r="C138" s="54"/>
      <c r="D138" s="54"/>
      <c r="E138" s="54"/>
      <c r="F138" s="54"/>
      <c r="G138" s="54"/>
      <c r="H138" s="65"/>
      <c r="I138" s="65"/>
      <c r="J138" s="54"/>
      <c r="K138" s="54"/>
      <c r="L138" s="54"/>
      <c r="M138" s="54"/>
      <c r="N138" s="109" t="s">
        <v>120</v>
      </c>
      <c r="O138" s="72">
        <f>SUM(O137)</f>
        <v>0</v>
      </c>
      <c r="P138" s="110" t="s">
        <v>90</v>
      </c>
      <c r="Q138" s="55"/>
      <c r="Y138" s="217"/>
      <c r="Z138" s="91"/>
      <c r="AA138" s="91"/>
      <c r="AB138" s="91"/>
      <c r="AC138" s="91"/>
      <c r="AD138" s="91"/>
      <c r="AE138" s="91"/>
      <c r="AF138" s="218"/>
    </row>
    <row r="139" spans="2:32" ht="15.65" customHeight="1" x14ac:dyDescent="0.25">
      <c r="B139" s="71"/>
      <c r="C139" s="71"/>
      <c r="D139" s="71"/>
      <c r="E139" s="71"/>
      <c r="F139" s="71"/>
      <c r="G139" s="71"/>
      <c r="H139" s="71"/>
      <c r="I139" s="71"/>
      <c r="J139" s="71"/>
      <c r="K139" s="71"/>
      <c r="L139" s="71"/>
      <c r="M139" s="71"/>
      <c r="N139" s="71"/>
      <c r="O139" s="71"/>
      <c r="P139" s="71"/>
      <c r="Q139" s="71"/>
      <c r="Y139" s="217"/>
      <c r="Z139" s="91"/>
      <c r="AA139" s="91"/>
      <c r="AB139" s="91"/>
      <c r="AC139" s="91"/>
      <c r="AD139" s="91"/>
      <c r="AE139" s="91"/>
      <c r="AF139" s="218"/>
    </row>
    <row r="140" spans="2:32" ht="15.65" customHeight="1" x14ac:dyDescent="0.25">
      <c r="B140" s="121"/>
      <c r="C140" s="122"/>
      <c r="D140" s="122"/>
      <c r="E140" s="122"/>
      <c r="F140" s="122"/>
      <c r="G140" s="122"/>
      <c r="H140" s="122"/>
      <c r="I140" s="122"/>
      <c r="J140" s="122"/>
      <c r="K140" s="122"/>
      <c r="L140" s="122"/>
      <c r="M140" s="122"/>
      <c r="N140" s="122"/>
      <c r="O140" s="122"/>
      <c r="P140" s="122"/>
      <c r="Q140" s="123"/>
      <c r="Y140" s="217"/>
      <c r="Z140" s="91"/>
      <c r="AA140" s="91"/>
      <c r="AB140" s="91"/>
      <c r="AC140" s="91"/>
      <c r="AD140" s="91"/>
      <c r="AE140" s="91"/>
      <c r="AF140" s="218"/>
    </row>
    <row r="141" spans="2:32" ht="15.65" customHeight="1" x14ac:dyDescent="0.25">
      <c r="B141" s="124"/>
      <c r="C141" s="125" t="s">
        <v>343</v>
      </c>
      <c r="D141" s="126"/>
      <c r="E141" s="126"/>
      <c r="F141" s="126"/>
      <c r="G141" s="126"/>
      <c r="H141" s="126"/>
      <c r="I141" s="126"/>
      <c r="J141" s="126"/>
      <c r="K141" s="126"/>
      <c r="L141" s="126"/>
      <c r="M141" s="126"/>
      <c r="N141" s="126"/>
      <c r="O141" s="126"/>
      <c r="P141" s="126"/>
      <c r="Q141" s="127"/>
      <c r="Y141" s="217"/>
      <c r="Z141" s="91"/>
      <c r="AA141" s="91"/>
      <c r="AB141" s="91"/>
      <c r="AC141" s="91"/>
      <c r="AD141" s="91"/>
      <c r="AE141" s="91"/>
      <c r="AF141" s="218"/>
    </row>
    <row r="142" spans="2:32" ht="15.65" customHeight="1" x14ac:dyDescent="0.25">
      <c r="B142" s="171"/>
      <c r="C142" s="153"/>
      <c r="D142" s="153"/>
      <c r="E142" s="242" t="s">
        <v>336</v>
      </c>
      <c r="F142" s="130" t="s">
        <v>337</v>
      </c>
      <c r="G142" s="130" t="s">
        <v>184</v>
      </c>
      <c r="H142" s="130" t="s">
        <v>344</v>
      </c>
      <c r="I142" s="131"/>
      <c r="J142" s="172"/>
      <c r="K142" s="172"/>
      <c r="L142" s="172"/>
      <c r="M142" s="172"/>
      <c r="N142" s="172"/>
      <c r="O142" s="130" t="s">
        <v>323</v>
      </c>
      <c r="P142" s="172"/>
      <c r="Q142" s="173"/>
      <c r="Y142" s="296" t="s">
        <v>340</v>
      </c>
      <c r="Z142" s="296" t="s">
        <v>338</v>
      </c>
      <c r="AA142" s="296" t="s">
        <v>345</v>
      </c>
      <c r="AB142" s="296" t="s">
        <v>346</v>
      </c>
      <c r="AC142" s="91"/>
      <c r="AD142" s="91"/>
      <c r="AE142" s="91"/>
      <c r="AF142" s="218"/>
    </row>
    <row r="143" spans="2:32" ht="15.65" customHeight="1" x14ac:dyDescent="0.25">
      <c r="B143" s="46"/>
      <c r="C143" s="47"/>
      <c r="D143" s="47"/>
      <c r="E143" s="75"/>
      <c r="F143" s="47"/>
      <c r="G143" s="47"/>
      <c r="H143" s="47"/>
      <c r="I143" s="48"/>
      <c r="J143" s="47"/>
      <c r="K143" s="47"/>
      <c r="L143" s="47"/>
      <c r="M143" s="47"/>
      <c r="N143" s="1041"/>
      <c r="O143" s="900" t="s">
        <v>325</v>
      </c>
      <c r="P143" s="898"/>
      <c r="Q143" s="49"/>
      <c r="Y143" s="286" t="s">
        <v>347</v>
      </c>
      <c r="Z143" s="286" t="s">
        <v>347</v>
      </c>
      <c r="AA143" s="286"/>
      <c r="AB143" s="286" t="s">
        <v>116</v>
      </c>
      <c r="AC143" s="91"/>
      <c r="AD143" s="91"/>
      <c r="AE143" s="91"/>
      <c r="AF143" s="218"/>
    </row>
    <row r="144" spans="2:32" ht="15.65" customHeight="1" x14ac:dyDescent="0.25">
      <c r="B144" s="46"/>
      <c r="C144" s="469" t="s">
        <v>348</v>
      </c>
      <c r="D144" s="237"/>
      <c r="E144" s="411"/>
      <c r="F144" s="357"/>
      <c r="G144" s="363"/>
      <c r="H144" s="927"/>
      <c r="I144" s="48"/>
      <c r="J144" s="47"/>
      <c r="K144" s="47"/>
      <c r="L144" s="47"/>
      <c r="M144" s="47"/>
      <c r="N144" s="106"/>
      <c r="O144" s="107">
        <f>IFERROR(AB144,'Hidden Lists and Summaries'!$C$158)</f>
        <v>0</v>
      </c>
      <c r="P144" s="108" t="s">
        <v>90</v>
      </c>
      <c r="Q144" s="49"/>
      <c r="Y144" s="274">
        <f>$E144</f>
        <v>0</v>
      </c>
      <c r="Z144" s="104">
        <f>$F144</f>
        <v>0</v>
      </c>
      <c r="AA144" s="104">
        <f>$G144</f>
        <v>0</v>
      </c>
      <c r="AB144" s="278">
        <f>$H144</f>
        <v>0</v>
      </c>
      <c r="AC144" s="91"/>
      <c r="AD144" s="91"/>
      <c r="AE144" s="91"/>
      <c r="AF144" s="218"/>
    </row>
    <row r="145" spans="1:32" ht="15.65" customHeight="1" x14ac:dyDescent="0.25">
      <c r="B145" s="46"/>
      <c r="C145" s="1068" t="s">
        <v>349</v>
      </c>
      <c r="D145" s="237"/>
      <c r="E145" s="413"/>
      <c r="F145" s="398"/>
      <c r="G145" s="366"/>
      <c r="H145" s="928"/>
      <c r="I145" s="48"/>
      <c r="J145" s="47"/>
      <c r="K145" s="47"/>
      <c r="L145" s="47"/>
      <c r="M145" s="47"/>
      <c r="N145" s="106"/>
      <c r="O145" s="107">
        <f>IFERROR(AB145,'Hidden Lists and Summaries'!$C$158)</f>
        <v>0</v>
      </c>
      <c r="P145" s="108" t="s">
        <v>90</v>
      </c>
      <c r="Q145" s="49"/>
      <c r="Y145" s="217">
        <f t="shared" ref="Y145:Y146" si="4">$E145</f>
        <v>0</v>
      </c>
      <c r="Z145" s="91">
        <f t="shared" ref="Z145:Z146" si="5">$F145</f>
        <v>0</v>
      </c>
      <c r="AA145" s="91">
        <f t="shared" ref="AA145:AA146" si="6">$G145</f>
        <v>0</v>
      </c>
      <c r="AB145" s="218">
        <f t="shared" ref="AB145:AB146" si="7">$H145</f>
        <v>0</v>
      </c>
      <c r="AC145" s="91"/>
      <c r="AD145" s="91"/>
      <c r="AE145" s="91"/>
      <c r="AF145" s="218"/>
    </row>
    <row r="146" spans="1:32" ht="15.65" customHeight="1" x14ac:dyDescent="0.25">
      <c r="B146" s="46"/>
      <c r="C146" s="470" t="s">
        <v>350</v>
      </c>
      <c r="D146" s="237"/>
      <c r="E146" s="415"/>
      <c r="F146" s="360"/>
      <c r="G146" s="442"/>
      <c r="H146" s="929"/>
      <c r="I146" s="48"/>
      <c r="J146" s="47"/>
      <c r="K146" s="47"/>
      <c r="L146" s="47"/>
      <c r="M146" s="47"/>
      <c r="N146" s="106"/>
      <c r="O146" s="339">
        <f>IFERROR(AB146,'Hidden Lists and Summaries'!$C$158)</f>
        <v>0</v>
      </c>
      <c r="P146" s="108" t="s">
        <v>90</v>
      </c>
      <c r="Q146" s="49"/>
      <c r="Y146" s="224">
        <f t="shared" si="4"/>
        <v>0</v>
      </c>
      <c r="Z146" s="185">
        <f t="shared" si="5"/>
        <v>0</v>
      </c>
      <c r="AA146" s="185">
        <f t="shared" si="6"/>
        <v>0</v>
      </c>
      <c r="AB146" s="225">
        <f t="shared" si="7"/>
        <v>0</v>
      </c>
      <c r="AC146" s="91"/>
      <c r="AD146" s="91"/>
      <c r="AE146" s="91"/>
      <c r="AF146" s="218"/>
    </row>
    <row r="147" spans="1:32" ht="15.65" customHeight="1" x14ac:dyDescent="0.25">
      <c r="B147" s="53"/>
      <c r="C147" s="54"/>
      <c r="D147" s="54"/>
      <c r="E147" s="54"/>
      <c r="F147" s="54"/>
      <c r="G147" s="165"/>
      <c r="H147" s="65"/>
      <c r="I147" s="65"/>
      <c r="J147" s="54"/>
      <c r="K147" s="54"/>
      <c r="L147" s="54"/>
      <c r="M147" s="54"/>
      <c r="N147" s="109" t="s">
        <v>120</v>
      </c>
      <c r="O147" s="72">
        <f>SUM(O144:O146)</f>
        <v>0</v>
      </c>
      <c r="P147" s="110" t="s">
        <v>90</v>
      </c>
      <c r="Q147" s="55"/>
      <c r="Y147" s="217"/>
      <c r="Z147" s="91"/>
      <c r="AA147" s="91"/>
      <c r="AB147" s="91"/>
      <c r="AC147" s="91"/>
      <c r="AD147" s="91"/>
      <c r="AE147" s="91"/>
      <c r="AF147" s="218"/>
    </row>
    <row r="148" spans="1:32" ht="15.65" customHeight="1" x14ac:dyDescent="0.25">
      <c r="B148" s="71"/>
      <c r="C148" s="71"/>
      <c r="D148" s="71"/>
      <c r="E148" s="71"/>
      <c r="F148" s="71"/>
      <c r="G148" s="71"/>
      <c r="H148" s="71"/>
      <c r="I148" s="71"/>
      <c r="J148" s="71"/>
      <c r="K148" s="71"/>
      <c r="L148" s="71"/>
      <c r="M148" s="71"/>
      <c r="N148" s="71"/>
      <c r="O148" s="71"/>
      <c r="P148" s="71"/>
      <c r="Q148" s="71"/>
      <c r="Y148" s="217"/>
      <c r="Z148" s="91"/>
      <c r="AA148" s="91"/>
      <c r="AB148" s="91"/>
      <c r="AC148" s="91"/>
      <c r="AD148" s="91"/>
      <c r="AE148" s="91"/>
      <c r="AF148" s="218"/>
    </row>
    <row r="149" spans="1:32" ht="15.65" customHeight="1" x14ac:dyDescent="0.25">
      <c r="A149" s="70"/>
      <c r="B149" s="121"/>
      <c r="C149" s="122"/>
      <c r="D149" s="122"/>
      <c r="E149" s="122"/>
      <c r="F149" s="122"/>
      <c r="G149" s="122"/>
      <c r="H149" s="122"/>
      <c r="I149" s="122"/>
      <c r="J149" s="122"/>
      <c r="K149" s="122"/>
      <c r="L149" s="122"/>
      <c r="M149" s="122"/>
      <c r="N149" s="122"/>
      <c r="O149" s="122"/>
      <c r="P149" s="122"/>
      <c r="Q149" s="123"/>
      <c r="Y149" s="217"/>
      <c r="Z149" s="91"/>
      <c r="AA149" s="91"/>
      <c r="AB149" s="91"/>
      <c r="AC149" s="91"/>
      <c r="AD149" s="91"/>
      <c r="AE149" s="91"/>
      <c r="AF149" s="218"/>
    </row>
    <row r="150" spans="1:32" ht="15.65" customHeight="1" x14ac:dyDescent="0.25">
      <c r="A150" s="70"/>
      <c r="B150" s="124"/>
      <c r="C150" s="145" t="s">
        <v>351</v>
      </c>
      <c r="D150" s="144"/>
      <c r="E150" s="144"/>
      <c r="F150" s="144"/>
      <c r="G150" s="144"/>
      <c r="H150" s="144"/>
      <c r="I150" s="144"/>
      <c r="J150" s="144"/>
      <c r="K150" s="144"/>
      <c r="L150" s="144"/>
      <c r="M150" s="144"/>
      <c r="N150" s="144"/>
      <c r="O150" s="144"/>
      <c r="P150" s="144"/>
      <c r="Q150" s="127"/>
      <c r="Y150" s="217"/>
      <c r="Z150" s="91"/>
      <c r="AA150" s="91"/>
      <c r="AB150" s="91"/>
      <c r="AC150" s="91"/>
      <c r="AD150" s="91"/>
      <c r="AE150" s="91"/>
      <c r="AF150" s="218"/>
    </row>
    <row r="151" spans="1:32" ht="15.65" customHeight="1" x14ac:dyDescent="0.25">
      <c r="A151" s="70"/>
      <c r="B151" s="171"/>
      <c r="C151" s="153"/>
      <c r="D151" s="153"/>
      <c r="E151" s="130" t="s">
        <v>352</v>
      </c>
      <c r="F151" s="130" t="s">
        <v>353</v>
      </c>
      <c r="G151" s="130" t="s">
        <v>184</v>
      </c>
      <c r="H151" s="131"/>
      <c r="I151" s="131"/>
      <c r="J151" s="172"/>
      <c r="K151" s="172"/>
      <c r="L151" s="172"/>
      <c r="M151" s="172"/>
      <c r="N151" s="172"/>
      <c r="O151" s="130" t="s">
        <v>82</v>
      </c>
      <c r="P151" s="172"/>
      <c r="Q151" s="173"/>
      <c r="Y151" s="217"/>
      <c r="Z151" s="91"/>
      <c r="AA151" s="91"/>
      <c r="AB151" s="91"/>
      <c r="AC151" s="91"/>
      <c r="AD151" s="91"/>
      <c r="AE151" s="91"/>
      <c r="AF151" s="218"/>
    </row>
    <row r="152" spans="1:32" ht="15.65" customHeight="1" x14ac:dyDescent="0.25">
      <c r="A152" s="70"/>
      <c r="B152" s="46"/>
      <c r="C152" s="47"/>
      <c r="D152" s="47"/>
      <c r="E152" s="54"/>
      <c r="F152" s="47"/>
      <c r="G152" s="47"/>
      <c r="H152" s="48"/>
      <c r="I152" s="48"/>
      <c r="J152" s="47"/>
      <c r="K152" s="47"/>
      <c r="L152" s="47"/>
      <c r="M152" s="47"/>
      <c r="N152" s="47"/>
      <c r="O152" s="47"/>
      <c r="P152" s="47"/>
      <c r="Q152" s="49"/>
      <c r="Y152" s="296" t="s">
        <v>354</v>
      </c>
      <c r="Z152" s="91"/>
      <c r="AA152" s="91"/>
      <c r="AB152" s="91"/>
      <c r="AC152" s="91"/>
      <c r="AD152" s="91"/>
      <c r="AE152" s="91"/>
      <c r="AF152" s="218"/>
    </row>
    <row r="153" spans="1:32" ht="15.65" customHeight="1" x14ac:dyDescent="0.25">
      <c r="A153" s="70"/>
      <c r="B153" s="46"/>
      <c r="C153" s="47" t="s">
        <v>355</v>
      </c>
      <c r="D153" s="47"/>
      <c r="E153" s="572"/>
      <c r="F153" s="573"/>
      <c r="G153" s="909" t="s">
        <v>183</v>
      </c>
      <c r="H153" s="48"/>
      <c r="I153" s="48"/>
      <c r="J153" s="47"/>
      <c r="K153" s="47"/>
      <c r="L153" s="47"/>
      <c r="M153" s="47"/>
      <c r="N153" s="47"/>
      <c r="O153" s="47"/>
      <c r="P153" s="47"/>
      <c r="Q153" s="49"/>
      <c r="Y153" s="285" t="s">
        <v>116</v>
      </c>
      <c r="Z153" s="91"/>
      <c r="AA153" s="91"/>
      <c r="AB153" s="91"/>
      <c r="AC153" s="91"/>
      <c r="AD153" s="91"/>
      <c r="AE153" s="91"/>
      <c r="AF153" s="218"/>
    </row>
    <row r="154" spans="1:32" ht="15.65" customHeight="1" x14ac:dyDescent="0.25">
      <c r="A154" s="70"/>
      <c r="B154" s="46"/>
      <c r="C154" s="63" t="s">
        <v>356</v>
      </c>
      <c r="D154" s="47"/>
      <c r="E154" s="407"/>
      <c r="F154" s="480"/>
      <c r="G154" s="910" t="s">
        <v>183</v>
      </c>
      <c r="H154" s="48"/>
      <c r="I154" s="48"/>
      <c r="J154" s="47"/>
      <c r="K154" s="47"/>
      <c r="L154" s="47"/>
      <c r="M154" s="47"/>
      <c r="N154" s="103"/>
      <c r="O154" s="111">
        <f>IF(F154="",0,IFERROR(Y154,'Hidden Lists and Summaries'!$C$158))</f>
        <v>0</v>
      </c>
      <c r="P154" s="105" t="s">
        <v>90</v>
      </c>
      <c r="Q154" s="49"/>
      <c r="Y154" s="311">
        <f>F154*VLOOKUP(G154,massConv[#All],3,FALSE)</f>
        <v>0</v>
      </c>
      <c r="Z154" s="91"/>
      <c r="AA154" s="91"/>
      <c r="AB154" s="91"/>
      <c r="AC154" s="91"/>
      <c r="AD154" s="91"/>
      <c r="AE154" s="91"/>
      <c r="AF154" s="218"/>
    </row>
    <row r="155" spans="1:32" ht="15.65" customHeight="1" x14ac:dyDescent="0.25">
      <c r="A155" s="70"/>
      <c r="B155" s="53"/>
      <c r="C155" s="54"/>
      <c r="D155" s="54"/>
      <c r="E155" s="54"/>
      <c r="F155" s="54"/>
      <c r="G155" s="54"/>
      <c r="H155" s="65"/>
      <c r="I155" s="65"/>
      <c r="J155" s="54"/>
      <c r="K155" s="54"/>
      <c r="L155" s="54"/>
      <c r="M155" s="54"/>
      <c r="N155" s="109" t="s">
        <v>120</v>
      </c>
      <c r="O155" s="72">
        <f>SUM(O154)</f>
        <v>0</v>
      </c>
      <c r="P155" s="110" t="s">
        <v>90</v>
      </c>
      <c r="Q155" s="55"/>
      <c r="Y155" s="217"/>
      <c r="Z155" s="91"/>
      <c r="AA155" s="91"/>
      <c r="AB155" s="91"/>
      <c r="AC155" s="91"/>
      <c r="AD155" s="91"/>
      <c r="AE155" s="91"/>
      <c r="AF155" s="218"/>
    </row>
    <row r="156" spans="1:32" s="68" customFormat="1" ht="15.65" customHeight="1" x14ac:dyDescent="0.25">
      <c r="B156" s="56"/>
      <c r="C156" s="56"/>
      <c r="D156" s="56"/>
      <c r="E156" s="56"/>
      <c r="F156" s="56"/>
      <c r="G156" s="56"/>
      <c r="J156" s="56"/>
      <c r="K156" s="56"/>
      <c r="L156" s="56"/>
      <c r="M156" s="56"/>
      <c r="N156" s="69"/>
      <c r="O156" s="56"/>
      <c r="P156" s="56"/>
      <c r="Q156" s="56"/>
      <c r="Y156" s="219"/>
      <c r="AF156" s="220"/>
    </row>
    <row r="157" spans="1:32" s="68" customFormat="1" ht="15.65" customHeight="1" x14ac:dyDescent="0.25">
      <c r="B157" s="1042" t="str">
        <f>IF(H186&lt;0,"NOTE: Reductions and co-allocations exceed operational emissions. Excess reductions and Co-Allocations equivalent to " &amp; -ROUND(H186,4) &amp;"kg CO2-e","")</f>
        <v/>
      </c>
      <c r="C157" s="56"/>
      <c r="D157" s="56"/>
      <c r="E157" s="56"/>
      <c r="F157" s="56"/>
      <c r="G157" s="56"/>
      <c r="J157" s="56"/>
      <c r="K157" s="56"/>
      <c r="L157" s="56"/>
      <c r="M157" s="56"/>
      <c r="N157" s="69"/>
      <c r="O157" s="56"/>
      <c r="P157" s="56"/>
      <c r="Q157" s="56"/>
      <c r="Y157" s="219"/>
      <c r="AF157" s="220"/>
    </row>
    <row r="158" spans="1:32" s="68" customFormat="1" ht="15.65" customHeight="1" x14ac:dyDescent="0.25">
      <c r="B158" s="56"/>
      <c r="C158" s="56"/>
      <c r="D158" s="56"/>
      <c r="E158" s="56"/>
      <c r="F158" s="56"/>
      <c r="G158" s="56"/>
      <c r="J158" s="56"/>
      <c r="K158" s="56"/>
      <c r="L158" s="56"/>
      <c r="M158" s="56"/>
      <c r="N158" s="69"/>
      <c r="O158" s="56"/>
      <c r="P158" s="56"/>
      <c r="Q158" s="56"/>
      <c r="Y158" s="219"/>
      <c r="AF158" s="220"/>
    </row>
    <row r="159" spans="1:32" ht="15.65" hidden="1" customHeight="1" x14ac:dyDescent="0.25">
      <c r="B159" s="44"/>
      <c r="C159" s="44"/>
      <c r="D159" s="44"/>
      <c r="E159" s="44"/>
      <c r="F159" s="44"/>
      <c r="G159" s="44"/>
      <c r="H159" s="44"/>
      <c r="I159" s="44"/>
      <c r="J159" s="44"/>
      <c r="K159" s="44"/>
      <c r="L159" s="44"/>
      <c r="M159" s="44"/>
      <c r="N159" s="44"/>
      <c r="O159" s="44"/>
      <c r="P159" s="44"/>
      <c r="Q159" s="44"/>
      <c r="Y159" s="217"/>
      <c r="Z159" s="91"/>
      <c r="AA159" s="91"/>
      <c r="AB159" s="91"/>
      <c r="AC159" s="91"/>
      <c r="AD159" s="91"/>
      <c r="AE159" s="91"/>
      <c r="AF159" s="218"/>
    </row>
    <row r="160" spans="1:32" ht="15.65" hidden="1" customHeight="1" x14ac:dyDescent="0.25">
      <c r="B160" s="44"/>
      <c r="C160" s="45" t="s">
        <v>357</v>
      </c>
      <c r="D160" s="44"/>
      <c r="E160" s="44"/>
      <c r="F160" s="44"/>
      <c r="G160" s="44"/>
      <c r="H160" s="44"/>
      <c r="I160" s="44"/>
      <c r="J160" s="44"/>
      <c r="K160" s="44"/>
      <c r="L160" s="44"/>
      <c r="M160" s="44"/>
      <c r="N160" s="44"/>
      <c r="O160" s="44"/>
      <c r="P160" s="44"/>
      <c r="Q160" s="44"/>
      <c r="Y160" s="217"/>
      <c r="Z160" s="91"/>
      <c r="AA160" s="91"/>
      <c r="AB160" s="91"/>
      <c r="AC160" s="91"/>
      <c r="AD160" s="91"/>
      <c r="AE160" s="91"/>
      <c r="AF160" s="218"/>
    </row>
    <row r="161" spans="1:32" ht="15.65" hidden="1" customHeight="1" x14ac:dyDescent="0.25">
      <c r="B161" s="44"/>
      <c r="C161" s="44"/>
      <c r="D161" s="44"/>
      <c r="E161" s="44"/>
      <c r="F161" s="44"/>
      <c r="G161" s="44"/>
      <c r="H161" s="44"/>
      <c r="I161" s="44"/>
      <c r="J161" s="44"/>
      <c r="K161" s="44"/>
      <c r="L161" s="44"/>
      <c r="M161" s="44"/>
      <c r="N161" s="44"/>
      <c r="O161" s="44"/>
      <c r="P161" s="44"/>
      <c r="Q161" s="44"/>
      <c r="Y161" s="217"/>
      <c r="Z161" s="91"/>
      <c r="AA161" s="91"/>
      <c r="AB161" s="91"/>
      <c r="AC161" s="91"/>
      <c r="AD161" s="91"/>
      <c r="AE161" s="91"/>
      <c r="AF161" s="218"/>
    </row>
    <row r="162" spans="1:32" ht="15.65" hidden="1" customHeight="1" x14ac:dyDescent="0.25">
      <c r="B162" s="71"/>
      <c r="C162" s="71"/>
      <c r="D162" s="71"/>
      <c r="E162"/>
      <c r="F162"/>
      <c r="G162"/>
      <c r="H162"/>
      <c r="I162"/>
      <c r="J162" s="71"/>
      <c r="K162" s="71"/>
      <c r="L162" s="71"/>
      <c r="M162" s="71"/>
      <c r="N162" s="71"/>
      <c r="O162" s="71"/>
      <c r="P162" s="71"/>
      <c r="Q162" s="71"/>
      <c r="Y162" s="217"/>
      <c r="Z162" s="91"/>
      <c r="AA162" s="91"/>
      <c r="AB162" s="91"/>
      <c r="AC162" s="91"/>
      <c r="AD162" s="91"/>
      <c r="AE162" s="91"/>
      <c r="AF162" s="218"/>
    </row>
    <row r="163" spans="1:32" ht="15.65" hidden="1" customHeight="1" x14ac:dyDescent="0.25">
      <c r="A163"/>
      <c r="B163"/>
      <c r="C163"/>
      <c r="D163"/>
      <c r="E163" s="282" t="s">
        <v>358</v>
      </c>
      <c r="F163" s="282" t="s">
        <v>359</v>
      </c>
      <c r="G163" s="282" t="s">
        <v>360</v>
      </c>
      <c r="H163" s="282" t="s">
        <v>361</v>
      </c>
      <c r="I163" s="282" t="s">
        <v>362</v>
      </c>
      <c r="J163"/>
      <c r="K163"/>
      <c r="L163"/>
      <c r="M163"/>
      <c r="Y163" s="217"/>
      <c r="Z163" s="91"/>
      <c r="AA163" s="91"/>
      <c r="AB163" s="91"/>
      <c r="AC163" s="91"/>
      <c r="AD163" s="91"/>
      <c r="AE163" s="91"/>
      <c r="AF163" s="218"/>
    </row>
    <row r="164" spans="1:32" ht="15.65" hidden="1" customHeight="1" x14ac:dyDescent="0.25">
      <c r="A164"/>
      <c r="B164"/>
      <c r="C164"/>
      <c r="D164"/>
      <c r="E164" t="s">
        <v>363</v>
      </c>
      <c r="F164" t="s">
        <v>364</v>
      </c>
      <c r="G164"/>
      <c r="H164">
        <f>IFERROR(SUMIF(ElectrolysisEmissionsBreakdown[Major category],'Hidden Lists and Summaries'!$B$5,ElectrolysisEmissionsBreakdown[Emissions (kg CO2-e)]), 'Hidden Lists and Summaries'!$C$158)</f>
        <v>0</v>
      </c>
      <c r="I164" t="s">
        <v>90</v>
      </c>
      <c r="Y164" s="217"/>
      <c r="Z164" s="91"/>
      <c r="AA164" s="91"/>
      <c r="AB164" s="91"/>
      <c r="AC164" s="91"/>
      <c r="AD164" s="91"/>
      <c r="AE164" s="91"/>
      <c r="AF164" s="218"/>
    </row>
    <row r="165" spans="1:32" ht="15.65" hidden="1" customHeight="1" x14ac:dyDescent="0.25">
      <c r="A165"/>
      <c r="B165"/>
      <c r="C165"/>
      <c r="D165"/>
      <c r="E165" t="s">
        <v>363</v>
      </c>
      <c r="F165" t="s">
        <v>365</v>
      </c>
      <c r="G165"/>
      <c r="H165">
        <f>IFERROR(H300, 'Hidden Lists and Summaries'!$C$158)</f>
        <v>0</v>
      </c>
      <c r="I165" t="s">
        <v>90</v>
      </c>
      <c r="Y165" s="263"/>
      <c r="Z165" s="297"/>
      <c r="AA165" s="91"/>
      <c r="AB165" s="91"/>
      <c r="AC165" s="91"/>
      <c r="AD165" s="91"/>
      <c r="AE165" s="91"/>
      <c r="AF165" s="218"/>
    </row>
    <row r="166" spans="1:32" ht="15.65" hidden="1" customHeight="1" x14ac:dyDescent="0.25">
      <c r="A166"/>
      <c r="B166"/>
      <c r="C166"/>
      <c r="D166"/>
      <c r="E166" t="s">
        <v>363</v>
      </c>
      <c r="F166" t="s">
        <v>366</v>
      </c>
      <c r="G166"/>
      <c r="H166">
        <f>IFERROR(H301, 'Hidden Lists and Summaries'!$C$158)</f>
        <v>0</v>
      </c>
      <c r="I166" t="s">
        <v>90</v>
      </c>
      <c r="Y166" s="263"/>
      <c r="Z166" s="91"/>
      <c r="AA166" s="91"/>
      <c r="AB166" s="91"/>
      <c r="AC166" s="91"/>
      <c r="AD166" s="91"/>
      <c r="AE166" s="91"/>
      <c r="AF166" s="218"/>
    </row>
    <row r="167" spans="1:32" ht="15.65" hidden="1" customHeight="1" x14ac:dyDescent="0.25">
      <c r="A167"/>
      <c r="B167"/>
      <c r="C167"/>
      <c r="D167"/>
      <c r="E167" t="s">
        <v>363</v>
      </c>
      <c r="F167" t="s">
        <v>118</v>
      </c>
      <c r="G167"/>
      <c r="H167">
        <f>IFERROR(H302, 'Hidden Lists and Summaries'!$C$158)</f>
        <v>0</v>
      </c>
      <c r="I167" t="s">
        <v>90</v>
      </c>
      <c r="Y167" s="263"/>
      <c r="Z167" s="91"/>
      <c r="AA167" s="91"/>
      <c r="AB167" s="91"/>
      <c r="AC167" s="91"/>
      <c r="AD167" s="91"/>
      <c r="AE167" s="91"/>
      <c r="AF167" s="218"/>
    </row>
    <row r="168" spans="1:32" ht="15.65" hidden="1" customHeight="1" x14ac:dyDescent="0.25">
      <c r="A168"/>
      <c r="B168"/>
      <c r="C168"/>
      <c r="D168"/>
      <c r="E168" t="s">
        <v>363</v>
      </c>
      <c r="F168" t="s">
        <v>367</v>
      </c>
      <c r="G168"/>
      <c r="H168">
        <f>IFERROR(H303, 'Hidden Lists and Summaries'!$C$158)</f>
        <v>0</v>
      </c>
      <c r="I168" t="s">
        <v>90</v>
      </c>
      <c r="Y168" s="263"/>
      <c r="Z168" s="91"/>
      <c r="AA168" s="91"/>
      <c r="AB168" s="91"/>
      <c r="AC168" s="91"/>
      <c r="AD168" s="91"/>
      <c r="AE168" s="91"/>
      <c r="AF168" s="218"/>
    </row>
    <row r="169" spans="1:32" ht="15.65" hidden="1" customHeight="1" x14ac:dyDescent="0.25">
      <c r="A169"/>
      <c r="B169"/>
      <c r="C169"/>
      <c r="D169"/>
      <c r="E169" t="s">
        <v>363</v>
      </c>
      <c r="F169" t="s">
        <v>368</v>
      </c>
      <c r="G169"/>
      <c r="H169" t="s">
        <v>369</v>
      </c>
      <c r="I169" t="s">
        <v>90</v>
      </c>
      <c r="Y169" s="263"/>
      <c r="Z169" s="91"/>
      <c r="AA169" s="91"/>
      <c r="AB169" s="91"/>
      <c r="AC169" s="91"/>
      <c r="AD169" s="91"/>
      <c r="AE169" s="91"/>
      <c r="AF169" s="218"/>
    </row>
    <row r="170" spans="1:32" hidden="1" x14ac:dyDescent="0.25">
      <c r="A170"/>
      <c r="B170"/>
      <c r="C170"/>
      <c r="D170"/>
      <c r="E170" t="s">
        <v>363</v>
      </c>
      <c r="F170" t="s">
        <v>370</v>
      </c>
      <c r="G170"/>
      <c r="H170">
        <f>IFERROR(SUM(H164:H169),'Hidden Lists and Summaries'!$C$158)</f>
        <v>0</v>
      </c>
      <c r="I170" t="s">
        <v>90</v>
      </c>
      <c r="Y170" s="263"/>
      <c r="Z170" s="91"/>
      <c r="AA170" s="91"/>
      <c r="AB170" s="91"/>
      <c r="AC170" s="91"/>
      <c r="AD170" s="91"/>
      <c r="AE170" s="91"/>
      <c r="AF170" s="218"/>
    </row>
    <row r="171" spans="1:32" hidden="1" x14ac:dyDescent="0.25">
      <c r="A171"/>
      <c r="B171"/>
      <c r="C171"/>
      <c r="D171"/>
      <c r="E171" t="s">
        <v>363</v>
      </c>
      <c r="F171" t="s">
        <v>371</v>
      </c>
      <c r="G171"/>
      <c r="H171" t="str">
        <f>IFERROR(H170/(electrolysis_hydrogenProductionQuantity*1000),'Hidden Lists and Summaries'!$C$158)</f>
        <v>Error -  Review inputs</v>
      </c>
      <c r="I171" t="s">
        <v>372</v>
      </c>
      <c r="Y171" s="263"/>
      <c r="Z171" s="91"/>
      <c r="AA171" s="91"/>
      <c r="AB171" s="91"/>
      <c r="AC171" s="91"/>
      <c r="AD171" s="91"/>
      <c r="AE171" s="91"/>
      <c r="AF171" s="218"/>
    </row>
    <row r="172" spans="1:32" hidden="1" x14ac:dyDescent="0.25">
      <c r="A172"/>
      <c r="B172"/>
      <c r="C172"/>
      <c r="D172"/>
      <c r="E172" t="s">
        <v>363</v>
      </c>
      <c r="F172" t="s">
        <v>373</v>
      </c>
      <c r="G172"/>
      <c r="H172" t="s">
        <v>369</v>
      </c>
      <c r="I172" t="s">
        <v>90</v>
      </c>
      <c r="Y172" s="263"/>
      <c r="Z172" s="91"/>
      <c r="AA172" s="91"/>
      <c r="AB172" s="91"/>
      <c r="AC172" s="91"/>
      <c r="AD172" s="91"/>
      <c r="AE172" s="91"/>
      <c r="AF172" s="218"/>
    </row>
    <row r="173" spans="1:32" hidden="1" x14ac:dyDescent="0.25">
      <c r="A173"/>
      <c r="B173"/>
      <c r="C173"/>
      <c r="D173"/>
      <c r="E173" t="s">
        <v>363</v>
      </c>
      <c r="F173" t="s">
        <v>374</v>
      </c>
      <c r="G173"/>
      <c r="H173">
        <f>IFERROR(H307,'Hidden Lists and Summaries'!$C$158)</f>
        <v>0</v>
      </c>
      <c r="I173" t="s">
        <v>90</v>
      </c>
      <c r="Y173" s="263"/>
      <c r="Z173" s="91"/>
      <c r="AA173" s="91"/>
      <c r="AB173" s="91"/>
      <c r="AC173" s="91"/>
      <c r="AD173" s="91"/>
      <c r="AE173" s="91"/>
      <c r="AF173" s="218"/>
    </row>
    <row r="174" spans="1:32" ht="15.65" hidden="1" customHeight="1" x14ac:dyDescent="0.25">
      <c r="A174"/>
      <c r="B174"/>
      <c r="C174"/>
      <c r="D174"/>
      <c r="E174" t="s">
        <v>363</v>
      </c>
      <c r="F174" t="s">
        <v>375</v>
      </c>
      <c r="G174"/>
      <c r="H174">
        <f>IFERROR(H308,'Hidden Lists and Summaries'!$C$158)</f>
        <v>0</v>
      </c>
      <c r="I174" t="s">
        <v>90</v>
      </c>
      <c r="Y174" s="263"/>
      <c r="Z174" s="91"/>
      <c r="AA174" s="91"/>
      <c r="AB174" s="91"/>
      <c r="AC174" s="91"/>
      <c r="AD174" s="91"/>
      <c r="AE174" s="91"/>
      <c r="AF174" s="218"/>
    </row>
    <row r="175" spans="1:32" ht="15.65" hidden="1" customHeight="1" x14ac:dyDescent="0.25">
      <c r="A175"/>
      <c r="B175"/>
      <c r="C175"/>
      <c r="D175"/>
      <c r="E175" t="s">
        <v>363</v>
      </c>
      <c r="F175" t="s">
        <v>376</v>
      </c>
      <c r="G175"/>
      <c r="H175" t="s">
        <v>369</v>
      </c>
      <c r="I175" t="s">
        <v>90</v>
      </c>
      <c r="Y175" s="263"/>
      <c r="Z175" s="91"/>
      <c r="AA175" s="91"/>
      <c r="AB175" s="91"/>
      <c r="AC175" s="91"/>
      <c r="AD175" s="91"/>
      <c r="AE175" s="91"/>
      <c r="AF175" s="218"/>
    </row>
    <row r="176" spans="1:32" ht="15.65" hidden="1" customHeight="1" x14ac:dyDescent="0.25">
      <c r="A176"/>
      <c r="B176"/>
      <c r="C176"/>
      <c r="D176"/>
      <c r="E176" t="s">
        <v>363</v>
      </c>
      <c r="F176" t="s">
        <v>377</v>
      </c>
      <c r="G176"/>
      <c r="H176">
        <f>IFERROR(H309,'Hidden Lists and Summaries'!$C$158)</f>
        <v>0</v>
      </c>
      <c r="I176" t="s">
        <v>90</v>
      </c>
      <c r="Y176" s="217"/>
      <c r="Z176" s="91"/>
      <c r="AA176" s="91"/>
      <c r="AB176" s="91"/>
      <c r="AC176" s="91"/>
      <c r="AD176" s="91"/>
      <c r="AE176" s="91"/>
      <c r="AF176" s="218"/>
    </row>
    <row r="177" spans="1:32" ht="15.65" hidden="1" customHeight="1" x14ac:dyDescent="0.25">
      <c r="A177"/>
      <c r="B177"/>
      <c r="C177"/>
      <c r="D177"/>
      <c r="E177" t="s">
        <v>363</v>
      </c>
      <c r="F177" t="s">
        <v>378</v>
      </c>
      <c r="G177"/>
      <c r="H177" t="s">
        <v>369</v>
      </c>
      <c r="I177" t="s">
        <v>90</v>
      </c>
      <c r="Y177" s="217"/>
      <c r="Z177" s="91"/>
      <c r="AA177" s="91"/>
      <c r="AB177" s="91"/>
      <c r="AC177" s="91"/>
      <c r="AD177" s="91"/>
      <c r="AE177" s="91"/>
      <c r="AF177" s="218"/>
    </row>
    <row r="178" spans="1:32" ht="15.65" hidden="1" customHeight="1" x14ac:dyDescent="0.25">
      <c r="A178"/>
      <c r="B178"/>
      <c r="C178"/>
      <c r="D178"/>
      <c r="E178" t="s">
        <v>363</v>
      </c>
      <c r="F178" t="s">
        <v>379</v>
      </c>
      <c r="G178"/>
      <c r="H178" t="s">
        <v>369</v>
      </c>
      <c r="I178" t="s">
        <v>90</v>
      </c>
      <c r="Y178" s="331"/>
      <c r="Z178" s="91"/>
      <c r="AA178" s="91"/>
      <c r="AB178" s="91"/>
      <c r="AC178" s="91"/>
      <c r="AD178" s="91"/>
      <c r="AE178" s="91"/>
      <c r="AF178" s="218"/>
    </row>
    <row r="179" spans="1:32" ht="15.65" hidden="1" customHeight="1" x14ac:dyDescent="0.25">
      <c r="A179"/>
      <c r="B179"/>
      <c r="C179"/>
      <c r="D179"/>
      <c r="E179" t="s">
        <v>363</v>
      </c>
      <c r="F179" t="s">
        <v>380</v>
      </c>
      <c r="G179"/>
      <c r="H179" t="s">
        <v>369</v>
      </c>
      <c r="I179" t="s">
        <v>90</v>
      </c>
      <c r="Y179" s="331"/>
      <c r="Z179" s="91"/>
      <c r="AA179" s="91"/>
      <c r="AB179" s="91"/>
      <c r="AC179" s="91"/>
      <c r="AD179" s="91"/>
      <c r="AE179" s="91"/>
      <c r="AF179" s="218"/>
    </row>
    <row r="180" spans="1:32" ht="15.65" hidden="1" customHeight="1" x14ac:dyDescent="0.25">
      <c r="A180"/>
      <c r="B180"/>
      <c r="C180"/>
      <c r="D180"/>
      <c r="E180" t="s">
        <v>363</v>
      </c>
      <c r="F180" t="s">
        <v>381</v>
      </c>
      <c r="G180"/>
      <c r="H180" t="s">
        <v>369</v>
      </c>
      <c r="I180" t="s">
        <v>90</v>
      </c>
      <c r="Y180" s="219"/>
      <c r="Z180" s="91"/>
      <c r="AA180" s="91"/>
      <c r="AB180" s="91"/>
      <c r="AC180" s="91"/>
      <c r="AD180" s="91"/>
      <c r="AE180" s="91"/>
      <c r="AF180" s="218"/>
    </row>
    <row r="181" spans="1:32" ht="15.65" hidden="1" customHeight="1" x14ac:dyDescent="0.25">
      <c r="A181"/>
      <c r="B181"/>
      <c r="C181"/>
      <c r="D181"/>
      <c r="E181" t="s">
        <v>363</v>
      </c>
      <c r="F181" t="s">
        <v>382</v>
      </c>
      <c r="G181"/>
      <c r="H181" t="s">
        <v>369</v>
      </c>
      <c r="I181" t="s">
        <v>90</v>
      </c>
      <c r="Y181" s="219"/>
      <c r="Z181" s="91"/>
      <c r="AA181" s="91"/>
      <c r="AB181" s="91"/>
      <c r="AC181" s="91"/>
      <c r="AD181" s="91"/>
      <c r="AE181" s="91"/>
      <c r="AF181" s="218"/>
    </row>
    <row r="182" spans="1:32" ht="15.65" hidden="1" customHeight="1" x14ac:dyDescent="0.25">
      <c r="A182"/>
      <c r="B182"/>
      <c r="C182"/>
      <c r="D182"/>
      <c r="E182" t="s">
        <v>363</v>
      </c>
      <c r="F182" t="s">
        <v>383</v>
      </c>
      <c r="G182"/>
      <c r="H182" s="227">
        <f>O147</f>
        <v>0</v>
      </c>
      <c r="I182" t="s">
        <v>90</v>
      </c>
      <c r="Y182" s="219"/>
      <c r="Z182" s="91"/>
      <c r="AA182" s="91"/>
      <c r="AB182" s="91"/>
      <c r="AC182" s="91"/>
      <c r="AD182" s="91"/>
      <c r="AE182" s="91"/>
      <c r="AF182" s="218"/>
    </row>
    <row r="183" spans="1:32" ht="15.65" hidden="1" customHeight="1" x14ac:dyDescent="0.25">
      <c r="A183"/>
      <c r="B183"/>
      <c r="C183"/>
      <c r="D183"/>
      <c r="E183" t="s">
        <v>363</v>
      </c>
      <c r="F183" t="s">
        <v>384</v>
      </c>
      <c r="G183"/>
      <c r="H183">
        <f>IFERROR(H310,'Hidden Lists and Summaries'!$C$158)</f>
        <v>0</v>
      </c>
      <c r="I183" t="s">
        <v>90</v>
      </c>
      <c r="Y183" s="219"/>
      <c r="Z183" s="91"/>
      <c r="AA183" s="91"/>
      <c r="AB183" s="91"/>
      <c r="AC183" s="91"/>
      <c r="AD183" s="91"/>
      <c r="AE183" s="91"/>
      <c r="AF183" s="218"/>
    </row>
    <row r="184" spans="1:32" ht="15.65" hidden="1" customHeight="1" x14ac:dyDescent="0.25">
      <c r="A184"/>
      <c r="B184"/>
      <c r="C184"/>
      <c r="D184"/>
      <c r="E184" t="s">
        <v>363</v>
      </c>
      <c r="F184" t="s">
        <v>385</v>
      </c>
      <c r="G184"/>
      <c r="H184">
        <f>IFERROR(H170-SUM(H173:H182)+H183,'Hidden Lists and Summaries'!$C$158)</f>
        <v>0</v>
      </c>
      <c r="I184" t="s">
        <v>90</v>
      </c>
      <c r="Y184" s="219"/>
      <c r="Z184" s="91"/>
      <c r="AA184" s="91"/>
      <c r="AB184" s="91"/>
      <c r="AC184" s="91"/>
      <c r="AD184" s="91"/>
      <c r="AE184" s="91"/>
      <c r="AF184" s="218"/>
    </row>
    <row r="185" spans="1:32" ht="15.65" hidden="1" customHeight="1" x14ac:dyDescent="0.25">
      <c r="A185"/>
      <c r="B185"/>
      <c r="C185"/>
      <c r="D185"/>
      <c r="E185" t="s">
        <v>363</v>
      </c>
      <c r="F185" t="s">
        <v>386</v>
      </c>
      <c r="G185"/>
      <c r="H185">
        <f>IFERROR(MAX(H170-SUM(H173:H182)+H183,0),'Hidden Lists and Summaries'!$C$158)</f>
        <v>0</v>
      </c>
      <c r="I185" t="s">
        <v>90</v>
      </c>
      <c r="Y185" s="219"/>
      <c r="Z185" s="91"/>
      <c r="AA185" s="91"/>
      <c r="AB185" s="91"/>
      <c r="AC185" s="91"/>
      <c r="AD185" s="91"/>
      <c r="AE185" s="91"/>
      <c r="AF185" s="218"/>
    </row>
    <row r="186" spans="1:32" ht="15.65" hidden="1" customHeight="1" x14ac:dyDescent="0.25">
      <c r="A186"/>
      <c r="B186"/>
      <c r="C186"/>
      <c r="D186"/>
      <c r="E186" t="s">
        <v>363</v>
      </c>
      <c r="F186" t="s">
        <v>387</v>
      </c>
      <c r="G186"/>
      <c r="H186">
        <f>H185-H184</f>
        <v>0</v>
      </c>
      <c r="I186" t="s">
        <v>90</v>
      </c>
      <c r="Y186" s="219"/>
      <c r="Z186" s="91"/>
      <c r="AA186" s="91"/>
      <c r="AB186" s="91"/>
      <c r="AC186" s="91"/>
      <c r="AD186" s="91"/>
      <c r="AE186" s="91"/>
      <c r="AF186" s="218"/>
    </row>
    <row r="187" spans="1:32" ht="15.65" hidden="1" customHeight="1" x14ac:dyDescent="0.25">
      <c r="A187"/>
      <c r="B187"/>
      <c r="C187"/>
      <c r="D187"/>
      <c r="E187" t="s">
        <v>363</v>
      </c>
      <c r="F187" t="s">
        <v>388</v>
      </c>
      <c r="G187"/>
      <c r="H187" t="str">
        <f>IFERROR(H185/(electrolysis_hydrogenProductionQuantity * 1000),'Hidden Lists and Summaries'!$C$158)</f>
        <v>Error -  Review inputs</v>
      </c>
      <c r="I187" t="s">
        <v>372</v>
      </c>
      <c r="Y187" s="219"/>
      <c r="Z187" s="91"/>
      <c r="AA187" s="91"/>
      <c r="AB187" s="91"/>
      <c r="AC187" s="91"/>
      <c r="AD187" s="91"/>
      <c r="AE187" s="91"/>
      <c r="AF187" s="218"/>
    </row>
    <row r="188" spans="1:32" ht="15.65" hidden="1" customHeight="1" x14ac:dyDescent="0.25">
      <c r="A188"/>
      <c r="B188"/>
      <c r="C188"/>
      <c r="D188"/>
      <c r="E188" t="s">
        <v>363</v>
      </c>
      <c r="F188" t="s">
        <v>389</v>
      </c>
      <c r="G188"/>
      <c r="H188" s="227">
        <f>H317</f>
        <v>0</v>
      </c>
      <c r="I188" t="s">
        <v>90</v>
      </c>
      <c r="Y188" s="219"/>
      <c r="Z188" s="91"/>
      <c r="AA188" s="91"/>
      <c r="AB188" s="91"/>
      <c r="AC188" s="91"/>
      <c r="AD188" s="91"/>
      <c r="AE188" s="91"/>
      <c r="AF188" s="218"/>
    </row>
    <row r="189" spans="1:32" ht="15.65" hidden="1" customHeight="1" x14ac:dyDescent="0.25">
      <c r="A189"/>
      <c r="B189"/>
      <c r="C189"/>
      <c r="D189"/>
      <c r="E189" t="s">
        <v>363</v>
      </c>
      <c r="F189" t="s">
        <v>390</v>
      </c>
      <c r="G189"/>
      <c r="H189" s="227">
        <f>H318</f>
        <v>0</v>
      </c>
      <c r="I189" t="s">
        <v>90</v>
      </c>
      <c r="Y189" s="219"/>
      <c r="Z189" s="91"/>
      <c r="AA189" s="91"/>
      <c r="AB189" s="91"/>
      <c r="AC189" s="91"/>
      <c r="AD189" s="91"/>
      <c r="AE189" s="91"/>
      <c r="AF189" s="218"/>
    </row>
    <row r="190" spans="1:32" ht="15.65" hidden="1" customHeight="1" x14ac:dyDescent="0.25">
      <c r="A190"/>
      <c r="B190"/>
      <c r="C190"/>
      <c r="D190"/>
      <c r="E190" t="s">
        <v>363</v>
      </c>
      <c r="F190" t="s">
        <v>391</v>
      </c>
      <c r="G190"/>
      <c r="H190" s="227">
        <f>SUM(H188:H189)</f>
        <v>0</v>
      </c>
      <c r="I190" t="s">
        <v>90</v>
      </c>
      <c r="Y190" s="219"/>
      <c r="Z190" s="91"/>
      <c r="AA190" s="91"/>
      <c r="AB190" s="91"/>
      <c r="AC190" s="91"/>
      <c r="AD190" s="91"/>
      <c r="AE190" s="91"/>
      <c r="AF190" s="218"/>
    </row>
    <row r="191" spans="1:32" ht="15.65" hidden="1" customHeight="1" x14ac:dyDescent="0.25">
      <c r="A191"/>
      <c r="B191"/>
      <c r="C191"/>
      <c r="D191"/>
      <c r="E191" t="s">
        <v>363</v>
      </c>
      <c r="F191" t="s">
        <v>392</v>
      </c>
      <c r="G191"/>
      <c r="H191" t="e">
        <f>H190/(electrolysis_hydrogenProductionQuantity * 1000)</f>
        <v>#N/A</v>
      </c>
      <c r="I191" t="s">
        <v>372</v>
      </c>
      <c r="Y191" s="219"/>
      <c r="Z191" s="91"/>
      <c r="AA191" s="91"/>
      <c r="AB191" s="91"/>
      <c r="AC191" s="91"/>
      <c r="AD191" s="91"/>
      <c r="AE191" s="91"/>
      <c r="AF191" s="218"/>
    </row>
    <row r="192" spans="1:32" ht="15.65" hidden="1" customHeight="1" x14ac:dyDescent="0.25">
      <c r="A192"/>
      <c r="B192"/>
      <c r="C192"/>
      <c r="D192"/>
      <c r="E192" t="s">
        <v>363</v>
      </c>
      <c r="F192" t="s">
        <v>393</v>
      </c>
      <c r="G192"/>
      <c r="H192">
        <f>production_transport_and_storage_losses</f>
        <v>0</v>
      </c>
      <c r="I192" t="s">
        <v>394</v>
      </c>
      <c r="Y192" s="219"/>
      <c r="Z192" s="91"/>
      <c r="AA192" s="91"/>
      <c r="AB192" s="91"/>
      <c r="AC192" s="91"/>
      <c r="AD192" s="91"/>
      <c r="AE192" s="91"/>
      <c r="AF192" s="218"/>
    </row>
    <row r="193" spans="1:44" ht="15.65" hidden="1" customHeight="1" x14ac:dyDescent="0.25">
      <c r="A193"/>
      <c r="B193"/>
      <c r="C193"/>
      <c r="D193"/>
      <c r="E193" t="s">
        <v>363</v>
      </c>
      <c r="F193" t="s">
        <v>395</v>
      </c>
      <c r="G193"/>
      <c r="H193" s="227" t="e">
        <f>H192/(electrolysis_hydrogenProductionQuantity*1000)*SUM(H171,H191)</f>
        <v>#N/A</v>
      </c>
      <c r="I193" t="s">
        <v>396</v>
      </c>
      <c r="Y193" s="298"/>
      <c r="Z193" s="185"/>
      <c r="AA193" s="185"/>
      <c r="AB193" s="185"/>
      <c r="AC193" s="185"/>
      <c r="AD193" s="185"/>
      <c r="AE193" s="185"/>
      <c r="AF193" s="225"/>
    </row>
    <row r="194" spans="1:44" ht="15.65" hidden="1" customHeight="1" x14ac:dyDescent="0.25">
      <c r="A194"/>
      <c r="B194"/>
      <c r="C194"/>
      <c r="D194"/>
      <c r="E194" t="s">
        <v>363</v>
      </c>
      <c r="F194" t="s">
        <v>397</v>
      </c>
      <c r="G194"/>
      <c r="H194" t="e">
        <f>H192/(electrolysis_hydrogenProductionQuantity*1000)*SUM(electrolysis_netEmissionsIntensity,H191)</f>
        <v>#N/A</v>
      </c>
      <c r="I194" t="s">
        <v>372</v>
      </c>
      <c r="O194" s="90"/>
    </row>
    <row r="195" spans="1:44" ht="15.65" hidden="1" customHeight="1" x14ac:dyDescent="0.25">
      <c r="A195"/>
      <c r="B195"/>
      <c r="C195"/>
      <c r="D195"/>
      <c r="E195" t="s">
        <v>363</v>
      </c>
      <c r="F195" t="s">
        <v>398</v>
      </c>
      <c r="G195"/>
      <c r="H195" t="e">
        <f>electrolysis_hydrogenProductionQuantity * 1000 - H192</f>
        <v>#N/A</v>
      </c>
      <c r="I195" t="s">
        <v>394</v>
      </c>
      <c r="X195" s="94"/>
      <c r="Y195" s="94"/>
      <c r="Z195" s="94"/>
      <c r="AA195" s="94"/>
      <c r="AB195" s="94"/>
      <c r="AC195" s="94"/>
      <c r="AD195" s="94"/>
      <c r="AE195" s="94"/>
      <c r="AF195" s="94"/>
      <c r="AG195" s="94"/>
      <c r="AH195" s="94"/>
      <c r="AI195" s="94"/>
      <c r="AJ195" s="94"/>
      <c r="AK195" s="94"/>
      <c r="AL195" s="94"/>
      <c r="AM195" s="94"/>
      <c r="AN195" s="94"/>
      <c r="AO195" s="94"/>
      <c r="AP195" s="94"/>
      <c r="AQ195" s="94"/>
      <c r="AR195" s="94"/>
    </row>
    <row r="196" spans="1:44" ht="15.65" hidden="1" customHeight="1" x14ac:dyDescent="0.25">
      <c r="A196"/>
      <c r="B196"/>
      <c r="C196"/>
      <c r="D196"/>
      <c r="E196" t="s">
        <v>363</v>
      </c>
      <c r="F196" t="s">
        <v>399</v>
      </c>
      <c r="G196"/>
      <c r="H196" s="227" t="e">
        <f>SUM(H171,H191,H193)</f>
        <v>#N/A</v>
      </c>
      <c r="I196" t="s">
        <v>372</v>
      </c>
      <c r="X196" s="94"/>
      <c r="Y196" s="93"/>
      <c r="Z196" s="93"/>
      <c r="AA196" s="1877"/>
      <c r="AB196" s="1877"/>
      <c r="AC196" s="82"/>
      <c r="AD196" s="273"/>
      <c r="AE196" s="273"/>
      <c r="AF196" s="273"/>
      <c r="AG196" s="273"/>
      <c r="AH196" s="273"/>
      <c r="AI196" s="273"/>
      <c r="AJ196" s="273"/>
      <c r="AK196" s="273"/>
      <c r="AL196" s="273"/>
      <c r="AM196" s="94"/>
      <c r="AN196" s="94"/>
      <c r="AO196" s="94"/>
      <c r="AP196" s="94"/>
      <c r="AQ196" s="94"/>
      <c r="AR196" s="94"/>
    </row>
    <row r="197" spans="1:44" ht="15.65" hidden="1" customHeight="1" x14ac:dyDescent="0.25">
      <c r="A197"/>
      <c r="B197"/>
      <c r="C197"/>
      <c r="D197"/>
      <c r="E197" t="s">
        <v>363</v>
      </c>
      <c r="F197" t="s">
        <v>400</v>
      </c>
      <c r="G197"/>
      <c r="H197" s="227" t="e">
        <f>SUM(electrolysis_netEmissionsIntensity,H191,H194)</f>
        <v>#N/A</v>
      </c>
      <c r="I197" t="s">
        <v>372</v>
      </c>
      <c r="X197" s="94"/>
      <c r="Y197" s="94"/>
      <c r="Z197" s="94"/>
      <c r="AA197" s="1877"/>
      <c r="AB197" s="1877"/>
      <c r="AC197" s="94"/>
      <c r="AD197" s="273"/>
      <c r="AE197" s="273"/>
      <c r="AF197" s="273"/>
      <c r="AG197" s="273"/>
      <c r="AH197" s="273"/>
      <c r="AI197" s="273"/>
      <c r="AJ197" s="273"/>
      <c r="AK197" s="273"/>
      <c r="AL197" s="273"/>
      <c r="AM197" s="94"/>
      <c r="AN197" s="94"/>
      <c r="AO197" s="94"/>
      <c r="AP197" s="94"/>
      <c r="AQ197" s="94"/>
      <c r="AR197" s="94"/>
    </row>
    <row r="198" spans="1:44" ht="15.65" hidden="1" customHeight="1" x14ac:dyDescent="0.25">
      <c r="A198"/>
      <c r="B198"/>
      <c r="C198"/>
      <c r="D198"/>
      <c r="E198" t="s">
        <v>363</v>
      </c>
      <c r="F198" t="s">
        <v>401</v>
      </c>
      <c r="G198"/>
      <c r="H198">
        <f>iq_name</f>
        <v>0</v>
      </c>
      <c r="I198"/>
      <c r="X198" s="94"/>
      <c r="Y198" s="94"/>
      <c r="Z198" s="94"/>
      <c r="AA198" s="275"/>
      <c r="AB198" s="94"/>
      <c r="AC198" s="94"/>
      <c r="AD198" s="94"/>
      <c r="AE198" s="94"/>
      <c r="AF198" s="94"/>
      <c r="AG198" s="94"/>
      <c r="AH198" s="94"/>
      <c r="AI198" s="94"/>
      <c r="AJ198" s="94"/>
      <c r="AK198" s="94"/>
      <c r="AL198" s="94"/>
      <c r="AM198" s="94"/>
      <c r="AN198" s="94"/>
      <c r="AO198" s="94"/>
      <c r="AP198" s="94"/>
      <c r="AQ198" s="94"/>
      <c r="AR198" s="94"/>
    </row>
    <row r="199" spans="1:44" ht="15.65" hidden="1" customHeight="1" x14ac:dyDescent="0.25">
      <c r="A199"/>
      <c r="B199"/>
      <c r="C199"/>
      <c r="D199"/>
      <c r="E199" t="s">
        <v>363</v>
      </c>
      <c r="F199" t="s">
        <v>402</v>
      </c>
      <c r="G199"/>
      <c r="H199" t="str">
        <f>_xlfn.CONCAT(iq_location,", ",IF(iq_metro="Yes","Metro", "Non-Metro"))</f>
        <v>, Non-Metro</v>
      </c>
      <c r="I199"/>
      <c r="X199" s="94"/>
      <c r="Y199" s="94"/>
      <c r="Z199" s="94"/>
      <c r="AA199" s="275"/>
      <c r="AB199" s="94"/>
      <c r="AC199" s="94"/>
      <c r="AD199" s="94"/>
      <c r="AE199" s="94"/>
      <c r="AF199" s="94"/>
      <c r="AG199" s="94"/>
      <c r="AH199" s="94"/>
      <c r="AI199" s="94"/>
      <c r="AJ199" s="94"/>
      <c r="AK199" s="94"/>
      <c r="AL199" s="94"/>
      <c r="AM199" s="94"/>
      <c r="AN199" s="94"/>
      <c r="AO199" s="94"/>
      <c r="AP199" s="94"/>
      <c r="AQ199" s="94"/>
      <c r="AR199" s="94"/>
    </row>
    <row r="200" spans="1:44" ht="15.65" hidden="1" customHeight="1" x14ac:dyDescent="0.25">
      <c r="A200"/>
      <c r="B200"/>
      <c r="C200"/>
      <c r="D200"/>
      <c r="E200" t="s">
        <v>363</v>
      </c>
      <c r="F200" t="s">
        <v>403</v>
      </c>
      <c r="G200"/>
      <c r="H200">
        <f>electrolysis_annual_capcaity_tonnes</f>
        <v>0</v>
      </c>
      <c r="I200" t="s">
        <v>404</v>
      </c>
      <c r="X200" s="94"/>
      <c r="Y200" s="94"/>
      <c r="Z200" s="94"/>
      <c r="AA200" s="275"/>
      <c r="AB200" s="94"/>
      <c r="AC200" s="94"/>
      <c r="AD200" s="94"/>
      <c r="AE200" s="94"/>
      <c r="AF200" s="94"/>
      <c r="AG200" s="94"/>
      <c r="AH200" s="94"/>
      <c r="AI200" s="94"/>
      <c r="AJ200" s="94"/>
      <c r="AK200" s="94"/>
      <c r="AL200" s="94"/>
      <c r="AM200" s="94"/>
      <c r="AN200" s="94"/>
      <c r="AO200" s="94"/>
      <c r="AP200" s="94"/>
      <c r="AQ200" s="94"/>
      <c r="AR200" s="94"/>
    </row>
    <row r="201" spans="1:44" ht="15.65" hidden="1" customHeight="1" x14ac:dyDescent="0.25">
      <c r="A201"/>
      <c r="B201"/>
      <c r="C201"/>
      <c r="D201"/>
      <c r="E201" t="s">
        <v>363</v>
      </c>
      <c r="F201" t="s">
        <v>405</v>
      </c>
      <c r="G201"/>
      <c r="H201" s="230">
        <f>iq_commencement</f>
        <v>0</v>
      </c>
      <c r="I201"/>
      <c r="X201" s="94"/>
      <c r="Y201" s="94"/>
      <c r="Z201" s="94"/>
      <c r="AA201" s="275"/>
      <c r="AB201" s="94"/>
      <c r="AC201" s="94"/>
      <c r="AD201" s="94"/>
      <c r="AE201" s="94"/>
      <c r="AF201" s="94"/>
      <c r="AG201" s="94"/>
      <c r="AH201" s="94"/>
      <c r="AI201" s="94"/>
      <c r="AJ201" s="94"/>
      <c r="AK201" s="94"/>
      <c r="AL201" s="94"/>
      <c r="AM201" s="94"/>
      <c r="AN201" s="94"/>
      <c r="AO201" s="94"/>
      <c r="AP201" s="94"/>
      <c r="AQ201" s="94"/>
      <c r="AR201" s="94"/>
    </row>
    <row r="202" spans="1:44" ht="15.65" hidden="1" customHeight="1" x14ac:dyDescent="0.25">
      <c r="A202"/>
      <c r="B202"/>
      <c r="C202"/>
      <c r="D202"/>
      <c r="E202" t="s">
        <v>363</v>
      </c>
      <c r="F202" t="s">
        <v>406</v>
      </c>
      <c r="G202"/>
      <c r="H202" t="str" cm="1">
        <f t="array" aca="1" ref="H202" ca="1">_xlfn.TEXTAFTER(CELL("filename",A32),"]")</f>
        <v>Electrolysis</v>
      </c>
      <c r="I202"/>
      <c r="X202" s="94"/>
      <c r="Y202" s="94"/>
      <c r="Z202" s="94"/>
      <c r="AA202" s="94"/>
      <c r="AB202" s="94"/>
      <c r="AC202" s="94"/>
      <c r="AD202" s="94"/>
      <c r="AE202" s="94"/>
      <c r="AF202" s="94"/>
      <c r="AG202" s="94"/>
      <c r="AH202" s="94"/>
      <c r="AI202" s="94"/>
      <c r="AJ202" s="94"/>
      <c r="AK202" s="94"/>
      <c r="AL202" s="94"/>
      <c r="AM202" s="94"/>
      <c r="AN202" s="94"/>
      <c r="AO202" s="94"/>
      <c r="AP202" s="94"/>
      <c r="AQ202" s="94"/>
      <c r="AR202" s="94"/>
    </row>
    <row r="203" spans="1:44" ht="15.65" hidden="1" customHeight="1" x14ac:dyDescent="0.25">
      <c r="A203"/>
      <c r="B203"/>
      <c r="C203"/>
      <c r="D203"/>
      <c r="E203" t="s">
        <v>363</v>
      </c>
      <c r="F203" t="s">
        <v>407</v>
      </c>
      <c r="G203"/>
      <c r="H203" t="e">
        <f>electrolysis_hydrogenProductionQuantity*1000</f>
        <v>#N/A</v>
      </c>
      <c r="I203" t="s">
        <v>394</v>
      </c>
      <c r="X203" s="94"/>
      <c r="Y203" s="94"/>
      <c r="Z203" s="94"/>
      <c r="AA203" s="94"/>
      <c r="AB203" s="94"/>
      <c r="AC203" s="94"/>
      <c r="AD203" s="94"/>
      <c r="AE203" s="94"/>
      <c r="AF203" s="94"/>
      <c r="AG203" s="94"/>
      <c r="AH203" s="94"/>
      <c r="AI203" s="94"/>
      <c r="AJ203" s="94"/>
      <c r="AK203" s="94"/>
      <c r="AL203" s="94"/>
      <c r="AM203" s="94"/>
      <c r="AN203" s="94"/>
      <c r="AO203" s="94"/>
      <c r="AP203" s="94"/>
      <c r="AQ203" s="94"/>
      <c r="AR203" s="94"/>
    </row>
    <row r="204" spans="1:44" ht="15.65" hidden="1" customHeight="1" x14ac:dyDescent="0.25">
      <c r="A204"/>
      <c r="B204"/>
      <c r="C204"/>
      <c r="D204"/>
      <c r="E204" t="s">
        <v>363</v>
      </c>
      <c r="F204" t="s">
        <v>408</v>
      </c>
      <c r="G204"/>
      <c r="H204">
        <f>E23</f>
        <v>0</v>
      </c>
      <c r="I204"/>
      <c r="X204" s="94"/>
      <c r="Y204" s="94"/>
      <c r="Z204" s="94"/>
      <c r="AA204" s="94"/>
      <c r="AB204" s="94"/>
      <c r="AC204" s="94"/>
      <c r="AD204" s="94"/>
      <c r="AE204" s="94"/>
      <c r="AF204" s="94"/>
      <c r="AG204" s="94"/>
      <c r="AH204" s="94"/>
      <c r="AI204" s="94"/>
      <c r="AJ204" s="94"/>
      <c r="AK204" s="94"/>
      <c r="AL204" s="94"/>
      <c r="AM204" s="94"/>
      <c r="AN204" s="94"/>
      <c r="AO204" s="94"/>
      <c r="AP204" s="94"/>
      <c r="AQ204" s="94"/>
      <c r="AR204" s="94"/>
    </row>
    <row r="205" spans="1:44" ht="15.65" hidden="1" customHeight="1" x14ac:dyDescent="0.25">
      <c r="A205"/>
      <c r="B205"/>
      <c r="C205"/>
      <c r="D205"/>
      <c r="E205" t="s">
        <v>363</v>
      </c>
      <c r="F205" t="s">
        <v>188</v>
      </c>
      <c r="G205"/>
      <c r="H205">
        <f>E24</f>
        <v>0</v>
      </c>
      <c r="I205" t="s">
        <v>409</v>
      </c>
      <c r="X205" s="94"/>
      <c r="Y205" s="93"/>
      <c r="Z205" s="93"/>
      <c r="AA205" s="1877"/>
      <c r="AB205" s="1877"/>
      <c r="AC205" s="82"/>
      <c r="AD205" s="273"/>
      <c r="AE205" s="273"/>
      <c r="AF205" s="273"/>
      <c r="AG205" s="273"/>
      <c r="AH205" s="273"/>
      <c r="AI205" s="273"/>
      <c r="AJ205" s="273"/>
      <c r="AK205" s="273"/>
      <c r="AL205" s="273"/>
      <c r="AM205" s="94"/>
      <c r="AN205" s="94"/>
      <c r="AO205" s="94"/>
      <c r="AP205" s="94"/>
      <c r="AQ205" s="94"/>
      <c r="AR205" s="94"/>
    </row>
    <row r="206" spans="1:44" ht="15.65" hidden="1" customHeight="1" x14ac:dyDescent="0.25">
      <c r="A206"/>
      <c r="B206"/>
      <c r="C206"/>
      <c r="D206"/>
      <c r="E206" t="s">
        <v>363</v>
      </c>
      <c r="F206" t="s">
        <v>410</v>
      </c>
      <c r="G206"/>
      <c r="H206">
        <f>E25</f>
        <v>0</v>
      </c>
      <c r="I206"/>
      <c r="X206" s="94"/>
      <c r="Y206" s="94"/>
      <c r="Z206" s="94"/>
      <c r="AA206" s="1877"/>
      <c r="AB206" s="1877"/>
      <c r="AC206" s="94"/>
      <c r="AD206" s="273"/>
      <c r="AE206" s="273"/>
      <c r="AF206" s="273"/>
      <c r="AG206" s="273"/>
      <c r="AH206" s="273"/>
      <c r="AI206" s="273"/>
      <c r="AJ206" s="273"/>
      <c r="AK206" s="273"/>
      <c r="AL206" s="273"/>
      <c r="AM206" s="94"/>
      <c r="AN206" s="94"/>
      <c r="AO206" s="94"/>
      <c r="AP206" s="94"/>
      <c r="AQ206" s="94"/>
      <c r="AR206" s="94"/>
    </row>
    <row r="207" spans="1:44" ht="15.65" hidden="1" customHeight="1" x14ac:dyDescent="0.25">
      <c r="A207"/>
      <c r="B207"/>
      <c r="C207"/>
      <c r="D207"/>
      <c r="E207" t="s">
        <v>363</v>
      </c>
      <c r="F207" t="s">
        <v>411</v>
      </c>
      <c r="G207"/>
      <c r="H207" t="str">
        <f>TEXT(iq_batchBegins,"dd/mm/yyy")</f>
        <v>00/01/1900</v>
      </c>
      <c r="I207"/>
      <c r="X207" s="94"/>
      <c r="Y207" s="94"/>
      <c r="Z207" s="94"/>
      <c r="AA207" s="275"/>
      <c r="AB207" s="94"/>
      <c r="AC207" s="94"/>
      <c r="AD207" s="94"/>
      <c r="AE207" s="94"/>
      <c r="AF207" s="94"/>
      <c r="AG207" s="94"/>
      <c r="AH207" s="94"/>
      <c r="AI207" s="94"/>
      <c r="AJ207" s="94"/>
      <c r="AK207" s="94"/>
      <c r="AL207" s="94"/>
      <c r="AM207" s="94"/>
      <c r="AN207" s="94"/>
      <c r="AO207" s="94"/>
      <c r="AP207" s="94"/>
      <c r="AQ207" s="94"/>
      <c r="AR207" s="94"/>
    </row>
    <row r="208" spans="1:44" ht="15.65" hidden="1" customHeight="1" x14ac:dyDescent="0.25">
      <c r="A208"/>
      <c r="B208"/>
      <c r="C208"/>
      <c r="D208"/>
      <c r="E208" t="s">
        <v>363</v>
      </c>
      <c r="F208" t="s">
        <v>412</v>
      </c>
      <c r="G208"/>
      <c r="H208" t="str">
        <f>TEXT(iq_batchEnd,"dd/mm/yyyy")</f>
        <v>00/01/1900</v>
      </c>
      <c r="I208"/>
      <c r="X208" s="94"/>
      <c r="Y208" s="94"/>
      <c r="Z208" s="94"/>
      <c r="AA208" s="275"/>
      <c r="AB208" s="94"/>
      <c r="AC208" s="94"/>
      <c r="AD208" s="94"/>
      <c r="AE208" s="94"/>
      <c r="AF208" s="94"/>
      <c r="AG208" s="94"/>
      <c r="AH208" s="94"/>
      <c r="AI208" s="94"/>
      <c r="AJ208" s="94"/>
      <c r="AK208" s="94"/>
      <c r="AL208" s="94"/>
      <c r="AM208" s="94"/>
      <c r="AN208" s="94"/>
      <c r="AO208" s="94"/>
      <c r="AP208" s="94"/>
      <c r="AQ208" s="94"/>
      <c r="AR208" s="94"/>
    </row>
    <row r="209" spans="1:44" ht="15.65" hidden="1" customHeight="1" x14ac:dyDescent="0.25">
      <c r="A209"/>
      <c r="B209"/>
      <c r="C209"/>
      <c r="D209"/>
      <c r="E209" t="s">
        <v>363</v>
      </c>
      <c r="F209" t="s">
        <v>413</v>
      </c>
      <c r="G209"/>
      <c r="H209" t="e">
        <f>electrolysis_hydrogenProductionQuantity*1000</f>
        <v>#N/A</v>
      </c>
      <c r="I209" t="s">
        <v>394</v>
      </c>
      <c r="X209" s="94"/>
      <c r="Y209" s="94"/>
      <c r="Z209" s="94"/>
      <c r="AA209" s="275"/>
      <c r="AB209" s="94"/>
      <c r="AC209" s="94"/>
      <c r="AD209" s="94"/>
      <c r="AE209" s="94"/>
      <c r="AF209" s="94"/>
      <c r="AG209" s="94"/>
      <c r="AH209" s="94"/>
      <c r="AI209" s="94"/>
      <c r="AJ209" s="94"/>
      <c r="AK209" s="94"/>
      <c r="AL209" s="94"/>
      <c r="AM209" s="94"/>
      <c r="AN209" s="94"/>
      <c r="AO209" s="94"/>
      <c r="AP209" s="94"/>
      <c r="AQ209" s="94"/>
      <c r="AR209" s="94"/>
    </row>
    <row r="210" spans="1:44" ht="15.65" hidden="1" customHeight="1" x14ac:dyDescent="0.25">
      <c r="A210"/>
      <c r="B210"/>
      <c r="C210"/>
      <c r="D210"/>
      <c r="E210" t="s">
        <v>363</v>
      </c>
      <c r="F210" t="s">
        <v>414</v>
      </c>
      <c r="G210"/>
      <c r="H210" cm="1">
        <f t="array" aca="1" ref="H210" ca="1">overall_totalImportedElectricity*VLOOKUP(_xlfn.TEXTAFTER(CELL("filename",$A$1),"]"),ElectricityPortionsByPathwayTable[],2,FALSE)</f>
        <v>0</v>
      </c>
      <c r="I210" t="s">
        <v>415</v>
      </c>
      <c r="X210" s="94"/>
      <c r="Y210" s="94"/>
      <c r="Z210" s="94"/>
      <c r="AA210" s="275"/>
      <c r="AB210" s="94"/>
      <c r="AC210" s="94"/>
      <c r="AD210" s="94"/>
      <c r="AE210" s="94"/>
      <c r="AF210" s="94"/>
      <c r="AG210" s="94"/>
      <c r="AH210" s="94"/>
      <c r="AI210" s="94"/>
      <c r="AJ210" s="94"/>
      <c r="AK210" s="94"/>
      <c r="AL210" s="94"/>
      <c r="AM210" s="94"/>
      <c r="AN210" s="94"/>
      <c r="AO210" s="94"/>
      <c r="AP210" s="94"/>
      <c r="AQ210" s="94"/>
      <c r="AR210" s="94"/>
    </row>
    <row r="211" spans="1:44" ht="15.65" hidden="1" customHeight="1" x14ac:dyDescent="0.25">
      <c r="A211"/>
      <c r="B211"/>
      <c r="C211"/>
      <c r="D211"/>
      <c r="E211" t="s">
        <v>363</v>
      </c>
      <c r="F211" t="s">
        <v>416</v>
      </c>
      <c r="G211"/>
      <c r="H211" t="e">
        <f>overall_LocationEF</f>
        <v>#N/A</v>
      </c>
      <c r="I211" t="s">
        <v>417</v>
      </c>
      <c r="X211" s="94"/>
      <c r="Y211" s="94"/>
      <c r="Z211" s="94"/>
      <c r="AA211" s="275"/>
      <c r="AB211" s="94"/>
      <c r="AC211" s="94"/>
      <c r="AD211" s="94"/>
      <c r="AE211" s="94"/>
      <c r="AF211" s="94"/>
      <c r="AG211" s="94"/>
      <c r="AH211" s="94"/>
      <c r="AI211" s="94"/>
      <c r="AJ211" s="94"/>
      <c r="AK211" s="94"/>
      <c r="AL211" s="94"/>
      <c r="AM211" s="94"/>
      <c r="AN211" s="94"/>
      <c r="AO211" s="94"/>
      <c r="AP211" s="94"/>
      <c r="AQ211" s="94"/>
      <c r="AR211" s="94"/>
    </row>
    <row r="212" spans="1:44" ht="15.65" hidden="1" customHeight="1" x14ac:dyDescent="0.25">
      <c r="A212"/>
      <c r="B212"/>
      <c r="C212"/>
      <c r="D212"/>
      <c r="E212" t="s">
        <v>363</v>
      </c>
      <c r="F212" t="s">
        <v>145</v>
      </c>
      <c r="G212"/>
      <c r="H212" s="1705" t="e">
        <f>E50/E49</f>
        <v>#DIV/0!</v>
      </c>
      <c r="I212"/>
      <c r="X212" s="94"/>
      <c r="Y212" s="94"/>
      <c r="Z212" s="94"/>
      <c r="AA212" s="94"/>
      <c r="AB212" s="94"/>
      <c r="AC212" s="94"/>
      <c r="AD212" s="94"/>
      <c r="AE212" s="94"/>
      <c r="AF212" s="94"/>
      <c r="AG212" s="94"/>
      <c r="AH212" s="94"/>
      <c r="AI212" s="94"/>
      <c r="AJ212" s="94"/>
      <c r="AK212" s="94"/>
      <c r="AL212" s="94"/>
      <c r="AM212" s="94"/>
      <c r="AN212" s="94"/>
      <c r="AO212" s="94"/>
      <c r="AP212" s="94"/>
      <c r="AQ212" s="94"/>
      <c r="AR212" s="94"/>
    </row>
    <row r="213" spans="1:44" ht="15.65" hidden="1" customHeight="1" x14ac:dyDescent="0.25">
      <c r="A213"/>
      <c r="B213"/>
      <c r="C213"/>
      <c r="D213"/>
      <c r="E213" t="s">
        <v>363</v>
      </c>
      <c r="F213" t="s">
        <v>98</v>
      </c>
      <c r="G213"/>
      <c r="H213" cm="1">
        <f t="array" aca="1" ref="H213" ca="1">'Electricity Usage'!$S22*VLOOKUP(_xlfn.TEXTAFTER(CELL("filename",$A$1),"]"),ElectricityPortionsByPathwayTable[],2,FALSE)</f>
        <v>0</v>
      </c>
      <c r="I213" t="s">
        <v>415</v>
      </c>
      <c r="X213" s="94"/>
      <c r="Y213" s="94"/>
      <c r="Z213" s="94"/>
      <c r="AA213" s="94"/>
      <c r="AB213" s="94"/>
      <c r="AC213" s="94"/>
      <c r="AD213" s="94"/>
      <c r="AE213" s="94"/>
      <c r="AF213" s="94"/>
      <c r="AG213" s="94"/>
      <c r="AH213" s="94"/>
      <c r="AI213" s="94"/>
      <c r="AJ213" s="94"/>
      <c r="AK213" s="94"/>
      <c r="AL213" s="94"/>
      <c r="AM213" s="94"/>
      <c r="AN213" s="94"/>
      <c r="AO213" s="94"/>
      <c r="AP213" s="94"/>
      <c r="AQ213" s="94"/>
      <c r="AR213" s="94"/>
    </row>
    <row r="214" spans="1:44" ht="15.65" hidden="1" customHeight="1" x14ac:dyDescent="0.25">
      <c r="A214"/>
      <c r="B214"/>
      <c r="C214"/>
      <c r="D214"/>
      <c r="E214" t="s">
        <v>363</v>
      </c>
      <c r="F214" t="s">
        <v>99</v>
      </c>
      <c r="G214"/>
      <c r="H214" cm="1">
        <f t="array" aca="1" ref="H214" ca="1">'Electricity Usage'!$S23*VLOOKUP(_xlfn.TEXTAFTER(CELL("filename",$A$1),"]"),ElectricityPortionsByPathwayTable[],2,FALSE)</f>
        <v>0</v>
      </c>
      <c r="I214" t="s">
        <v>415</v>
      </c>
      <c r="X214" s="94"/>
      <c r="Y214" s="94"/>
      <c r="Z214" s="94"/>
      <c r="AA214" s="94"/>
      <c r="AB214" s="94"/>
      <c r="AC214" s="94"/>
      <c r="AD214" s="94"/>
      <c r="AE214" s="94"/>
      <c r="AF214" s="94"/>
      <c r="AG214" s="94"/>
      <c r="AH214" s="94"/>
      <c r="AI214" s="94"/>
      <c r="AJ214" s="94"/>
      <c r="AK214" s="94"/>
      <c r="AL214" s="94"/>
      <c r="AM214" s="94"/>
      <c r="AN214" s="94"/>
      <c r="AO214" s="94"/>
      <c r="AP214" s="94"/>
      <c r="AQ214" s="94"/>
      <c r="AR214" s="94"/>
    </row>
    <row r="215" spans="1:44" ht="15.65" hidden="1" customHeight="1" x14ac:dyDescent="0.25">
      <c r="A215"/>
      <c r="B215"/>
      <c r="C215"/>
      <c r="D215"/>
      <c r="E215" t="s">
        <v>363</v>
      </c>
      <c r="F215" t="s">
        <v>100</v>
      </c>
      <c r="G215"/>
      <c r="H215" cm="1">
        <f t="array" aca="1" ref="H215" ca="1">'Electricity Usage'!$S24*VLOOKUP(_xlfn.TEXTAFTER(CELL("filename",$A$1),"]"),ElectricityPortionsByPathwayTable[],2,FALSE)</f>
        <v>0</v>
      </c>
      <c r="I215" t="s">
        <v>415</v>
      </c>
      <c r="X215" s="94"/>
      <c r="Y215" s="1877"/>
      <c r="Z215" s="1877"/>
      <c r="AA215" s="94"/>
      <c r="AB215" s="82"/>
      <c r="AC215" s="64"/>
      <c r="AD215" s="94"/>
      <c r="AE215" s="94"/>
      <c r="AF215" s="94"/>
      <c r="AG215" s="94"/>
      <c r="AH215" s="94"/>
      <c r="AI215" s="94"/>
      <c r="AJ215" s="94"/>
      <c r="AK215" s="94"/>
      <c r="AL215" s="94"/>
      <c r="AM215" s="94"/>
      <c r="AN215" s="94"/>
      <c r="AO215" s="94"/>
      <c r="AP215" s="94"/>
      <c r="AQ215" s="94"/>
      <c r="AR215" s="94"/>
    </row>
    <row r="216" spans="1:44" ht="15.65" hidden="1" customHeight="1" x14ac:dyDescent="0.25">
      <c r="A216"/>
      <c r="B216"/>
      <c r="C216"/>
      <c r="D216"/>
      <c r="E216" t="s">
        <v>363</v>
      </c>
      <c r="F216" t="s">
        <v>101</v>
      </c>
      <c r="G216"/>
      <c r="H216" cm="1">
        <f t="array" aca="1" ref="H216" ca="1">'Electricity Usage'!$S25*VLOOKUP(_xlfn.TEXTAFTER(CELL("filename",$A$1),"]"),ElectricityPortionsByPathwayTable[],2,FALSE)</f>
        <v>0</v>
      </c>
      <c r="I216" t="s">
        <v>415</v>
      </c>
      <c r="X216" s="94"/>
      <c r="Y216" s="93"/>
      <c r="Z216" s="93"/>
      <c r="AA216" s="1877"/>
      <c r="AB216" s="1877"/>
      <c r="AC216" s="64"/>
      <c r="AD216" s="94"/>
      <c r="AE216" s="94"/>
      <c r="AF216" s="94"/>
      <c r="AG216" s="94"/>
      <c r="AH216" s="94"/>
      <c r="AI216" s="94"/>
      <c r="AJ216" s="94"/>
      <c r="AK216" s="94"/>
      <c r="AL216" s="94"/>
      <c r="AM216" s="94"/>
      <c r="AN216" s="94"/>
      <c r="AO216" s="94"/>
      <c r="AP216" s="94"/>
      <c r="AQ216" s="94"/>
      <c r="AR216" s="94"/>
    </row>
    <row r="217" spans="1:44" hidden="1" x14ac:dyDescent="0.25">
      <c r="A217"/>
      <c r="B217"/>
      <c r="C217"/>
      <c r="D217"/>
      <c r="E217" t="s">
        <v>363</v>
      </c>
      <c r="F217" t="s">
        <v>418</v>
      </c>
      <c r="G217"/>
      <c r="H217" cm="1">
        <f t="array" aca="1" ref="H217" ca="1">overall_residualElectricity*VLOOKUP(_xlfn.TEXTAFTER(CELL("filename",A1),"]"),ElectricityPortionsByPathwayTable[],2,FALSE)</f>
        <v>0</v>
      </c>
      <c r="I217" t="s">
        <v>415</v>
      </c>
      <c r="X217" s="94"/>
      <c r="Y217" s="93"/>
      <c r="Z217" s="93"/>
      <c r="AA217" s="1877"/>
      <c r="AB217" s="1877"/>
      <c r="AC217" s="82"/>
      <c r="AD217" s="273"/>
      <c r="AE217" s="273"/>
      <c r="AF217" s="273"/>
      <c r="AG217" s="273"/>
      <c r="AH217" s="273"/>
      <c r="AI217" s="273"/>
      <c r="AJ217" s="273"/>
      <c r="AK217" s="273"/>
      <c r="AL217" s="273"/>
      <c r="AM217" s="94"/>
      <c r="AN217" s="94"/>
      <c r="AO217" s="94"/>
      <c r="AP217" s="94"/>
      <c r="AQ217" s="94"/>
      <c r="AR217" s="94"/>
    </row>
    <row r="218" spans="1:44" hidden="1" x14ac:dyDescent="0.25">
      <c r="A218"/>
      <c r="B218"/>
      <c r="C218"/>
      <c r="D218"/>
      <c r="E218" t="s">
        <v>363</v>
      </c>
      <c r="F218" t="s">
        <v>419</v>
      </c>
      <c r="G218"/>
      <c r="H218">
        <f>overall_MarketEF</f>
        <v>0.95499999999999996</v>
      </c>
      <c r="I218" t="s">
        <v>417</v>
      </c>
      <c r="X218" s="94"/>
      <c r="Y218" s="93"/>
      <c r="Z218" s="93"/>
      <c r="AA218" s="1877"/>
      <c r="AB218" s="1877"/>
      <c r="AC218" s="94"/>
      <c r="AD218" s="273"/>
      <c r="AE218" s="273"/>
      <c r="AF218" s="273"/>
      <c r="AG218" s="273"/>
      <c r="AH218" s="273"/>
      <c r="AI218" s="273"/>
      <c r="AJ218" s="273"/>
      <c r="AK218" s="273"/>
      <c r="AL218" s="273"/>
      <c r="AM218" s="94"/>
      <c r="AN218" s="94"/>
      <c r="AO218" s="94"/>
      <c r="AP218" s="94"/>
      <c r="AQ218" s="94"/>
      <c r="AR218" s="94"/>
    </row>
    <row r="219" spans="1:44" hidden="1" x14ac:dyDescent="0.25">
      <c r="A219"/>
      <c r="B219"/>
      <c r="C219"/>
      <c r="D219"/>
      <c r="E219" t="s">
        <v>363</v>
      </c>
      <c r="F219" t="s">
        <v>420</v>
      </c>
      <c r="G219"/>
      <c r="H219" cm="1">
        <f t="array" aca="1" ref="H219" ca="1">overall_totalOnsiteElecGen*VLOOKUP(_xlfn.TEXTAFTER(CELL("filename",$A$1),"]"),ElectricityPortionsByPathwayTable[],2,FALSE)</f>
        <v>0</v>
      </c>
      <c r="I219" t="s">
        <v>415</v>
      </c>
      <c r="X219" s="94"/>
      <c r="Y219" s="94"/>
      <c r="Z219" s="94"/>
      <c r="AA219" s="94"/>
      <c r="AB219" s="82"/>
      <c r="AC219" s="94"/>
      <c r="AD219" s="273"/>
      <c r="AE219" s="273"/>
      <c r="AF219" s="273"/>
      <c r="AG219" s="273"/>
      <c r="AH219" s="273"/>
      <c r="AI219" s="273"/>
      <c r="AJ219" s="273"/>
      <c r="AK219" s="273"/>
      <c r="AL219" s="273"/>
      <c r="AM219" s="94"/>
      <c r="AN219" s="94"/>
      <c r="AO219" s="94"/>
      <c r="AP219" s="94"/>
      <c r="AQ219" s="94"/>
      <c r="AR219" s="94"/>
    </row>
    <row r="220" spans="1:44" s="70" customFormat="1" hidden="1" x14ac:dyDescent="0.25">
      <c r="A220"/>
      <c r="B220"/>
      <c r="C220"/>
      <c r="D220"/>
      <c r="E220" t="s">
        <v>363</v>
      </c>
      <c r="F220" t="s">
        <v>421</v>
      </c>
      <c r="G220"/>
      <c r="H220" t="e">
        <f>overall_onsiteGenEF</f>
        <v>#DIV/0!</v>
      </c>
      <c r="I220" t="s">
        <v>417</v>
      </c>
      <c r="X220" s="94"/>
      <c r="Y220" s="94"/>
      <c r="Z220" s="94"/>
      <c r="AA220" s="94"/>
      <c r="AB220" s="94"/>
      <c r="AC220" s="94"/>
      <c r="AD220" s="94"/>
      <c r="AE220" s="94"/>
      <c r="AF220" s="94"/>
      <c r="AG220" s="94"/>
      <c r="AH220" s="94"/>
      <c r="AI220" s="94"/>
      <c r="AJ220" s="94"/>
      <c r="AK220" s="94"/>
      <c r="AL220" s="94"/>
      <c r="AM220" s="94"/>
      <c r="AN220" s="94"/>
      <c r="AO220" s="94"/>
      <c r="AP220" s="94"/>
      <c r="AQ220" s="94"/>
      <c r="AR220" s="94"/>
    </row>
    <row r="221" spans="1:44" hidden="1" x14ac:dyDescent="0.25">
      <c r="A221"/>
      <c r="B221"/>
      <c r="C221"/>
      <c r="D221"/>
      <c r="E221" t="s">
        <v>363</v>
      </c>
      <c r="F221" t="s">
        <v>422</v>
      </c>
      <c r="G221"/>
      <c r="I221"/>
      <c r="X221" s="94"/>
      <c r="Y221" s="94"/>
      <c r="Z221" s="94"/>
      <c r="AA221" s="94"/>
      <c r="AB221" s="94"/>
      <c r="AC221" s="94"/>
      <c r="AD221" s="94"/>
      <c r="AE221" s="94"/>
      <c r="AF221" s="94"/>
      <c r="AG221" s="94"/>
      <c r="AH221" s="94"/>
      <c r="AI221" s="94"/>
      <c r="AJ221" s="94"/>
      <c r="AK221" s="94"/>
      <c r="AL221" s="94"/>
      <c r="AM221" s="94"/>
      <c r="AN221" s="94"/>
      <c r="AO221" s="94"/>
      <c r="AP221" s="94"/>
      <c r="AQ221" s="94"/>
      <c r="AR221" s="94"/>
    </row>
    <row r="222" spans="1:44" hidden="1" x14ac:dyDescent="0.25">
      <c r="A222"/>
      <c r="B222"/>
      <c r="C222"/>
      <c r="D222"/>
      <c r="E222" t="s">
        <v>363</v>
      </c>
      <c r="F222" t="s">
        <v>423</v>
      </c>
      <c r="G222" t="str">
        <f>IF(Electrolysis!$E32&lt;&gt;"",Electrolysis!$E32,"")</f>
        <v/>
      </c>
      <c r="H222" t="str">
        <f>IFERROR(IF(Electrolysis!$AB32&lt;&gt;"",Electrolysis!$AB32,""),"")</f>
        <v/>
      </c>
      <c r="I222" t="e">
        <f>O32/AB32</f>
        <v>#N/A</v>
      </c>
      <c r="X222" s="94"/>
      <c r="Y222" s="94"/>
      <c r="Z222" s="94"/>
      <c r="AA222" s="94"/>
      <c r="AB222" s="94"/>
      <c r="AC222" s="94"/>
      <c r="AD222" s="94"/>
      <c r="AE222" s="94"/>
      <c r="AF222" s="94"/>
      <c r="AG222" s="94"/>
      <c r="AH222" s="94"/>
      <c r="AI222" s="94"/>
      <c r="AJ222" s="94"/>
      <c r="AK222" s="94"/>
      <c r="AL222" s="94"/>
      <c r="AM222" s="94"/>
      <c r="AN222" s="94"/>
      <c r="AO222" s="94"/>
      <c r="AP222" s="94"/>
      <c r="AQ222" s="94"/>
      <c r="AR222" s="94"/>
    </row>
    <row r="223" spans="1:44" hidden="1" x14ac:dyDescent="0.25">
      <c r="A223"/>
      <c r="B223"/>
      <c r="C223"/>
      <c r="D223"/>
      <c r="E223" t="s">
        <v>363</v>
      </c>
      <c r="F223" t="s">
        <v>424</v>
      </c>
      <c r="G223" t="str">
        <f>IF(Electrolysis!$E33&lt;&gt;"",Electrolysis!$E33,"")</f>
        <v/>
      </c>
      <c r="H223" t="str">
        <f>IFERROR(IF(Electrolysis!$AB33&lt;&gt;"",Electrolysis!$AB33,""),"")</f>
        <v/>
      </c>
      <c r="I223" t="e">
        <f>O33/AB33</f>
        <v>#N/A</v>
      </c>
      <c r="X223" s="94"/>
      <c r="Y223" s="94"/>
      <c r="Z223" s="94"/>
      <c r="AA223" s="94"/>
      <c r="AB223" s="94"/>
      <c r="AC223" s="94"/>
      <c r="AD223" s="94"/>
      <c r="AE223" s="94"/>
      <c r="AF223" s="94"/>
      <c r="AG223" s="94"/>
      <c r="AH223" s="94"/>
      <c r="AI223" s="94"/>
      <c r="AJ223" s="94"/>
      <c r="AK223" s="94"/>
      <c r="AL223" s="94"/>
      <c r="AM223" s="94"/>
      <c r="AN223" s="94"/>
      <c r="AO223" s="94"/>
      <c r="AP223" s="94"/>
      <c r="AQ223" s="94"/>
      <c r="AR223" s="94"/>
    </row>
    <row r="224" spans="1:44" ht="15" hidden="1" customHeight="1" x14ac:dyDescent="0.25">
      <c r="A224"/>
      <c r="B224"/>
      <c r="C224"/>
      <c r="D224"/>
      <c r="E224" t="s">
        <v>363</v>
      </c>
      <c r="F224" t="s">
        <v>425</v>
      </c>
      <c r="G224" t="str">
        <f>IF(Electrolysis!$E34&lt;&gt;"",Electrolysis!$E34,"")</f>
        <v/>
      </c>
      <c r="H224" t="str">
        <f>IFERROR(IF(Electrolysis!$AB34&lt;&gt;"",Electrolysis!$AB34,""),"")</f>
        <v/>
      </c>
      <c r="I224" t="e">
        <f>O34/AB34</f>
        <v>#N/A</v>
      </c>
      <c r="X224" s="94"/>
      <c r="Y224" s="94"/>
      <c r="Z224" s="94"/>
      <c r="AA224" s="94"/>
      <c r="AB224" s="94"/>
      <c r="AC224" s="94"/>
      <c r="AD224" s="94"/>
      <c r="AE224" s="94"/>
      <c r="AF224" s="94"/>
      <c r="AG224" s="94"/>
      <c r="AH224" s="94"/>
      <c r="AI224" s="94"/>
      <c r="AJ224" s="94"/>
      <c r="AK224" s="94"/>
      <c r="AL224" s="94"/>
      <c r="AM224" s="94"/>
      <c r="AN224" s="94"/>
      <c r="AO224" s="94"/>
      <c r="AP224" s="94"/>
      <c r="AQ224" s="94"/>
      <c r="AR224" s="94"/>
    </row>
    <row r="225" spans="1:44" ht="15" hidden="1" customHeight="1" x14ac:dyDescent="0.25">
      <c r="A225"/>
      <c r="B225"/>
      <c r="C225"/>
      <c r="D225"/>
      <c r="E225" t="s">
        <v>363</v>
      </c>
      <c r="F225" t="s">
        <v>426</v>
      </c>
      <c r="G225" s="227">
        <f>E41</f>
        <v>0</v>
      </c>
      <c r="H225" s="227">
        <f>AB43*VLOOKUP("m3",Table13[],2,FALSE)</f>
        <v>0</v>
      </c>
      <c r="I225" t="e">
        <f>O43/(AB43*VLOOKUP("m3",Table13[],2,FALSE))</f>
        <v>#DIV/0!</v>
      </c>
      <c r="X225" s="94"/>
      <c r="Y225" s="94"/>
      <c r="Z225" s="94"/>
      <c r="AA225" s="94"/>
      <c r="AB225" s="94"/>
      <c r="AC225" s="94"/>
      <c r="AD225" s="94"/>
      <c r="AE225" s="94"/>
      <c r="AF225" s="94"/>
      <c r="AG225" s="94"/>
      <c r="AH225" s="94"/>
      <c r="AI225" s="94"/>
      <c r="AJ225" s="94"/>
      <c r="AK225" s="94"/>
      <c r="AL225" s="94"/>
      <c r="AM225" s="94"/>
      <c r="AN225" s="94"/>
      <c r="AO225" s="94"/>
      <c r="AP225" s="94"/>
      <c r="AQ225" s="94"/>
      <c r="AR225" s="94"/>
    </row>
    <row r="226" spans="1:44" hidden="1" x14ac:dyDescent="0.25">
      <c r="A226"/>
      <c r="B226"/>
      <c r="C226"/>
      <c r="D226"/>
      <c r="E226" t="s">
        <v>363</v>
      </c>
      <c r="F226" t="s">
        <v>427</v>
      </c>
      <c r="G226"/>
      <c r="H226"/>
      <c r="I226"/>
      <c r="X226" s="94"/>
      <c r="Y226" s="94"/>
      <c r="Z226" s="94"/>
      <c r="AA226" s="94"/>
      <c r="AB226" s="94"/>
      <c r="AC226" s="94"/>
      <c r="AD226" s="94"/>
      <c r="AE226" s="94"/>
      <c r="AF226" s="94"/>
      <c r="AG226" s="94"/>
      <c r="AH226" s="94"/>
      <c r="AI226" s="94"/>
      <c r="AJ226" s="94"/>
      <c r="AK226" s="94"/>
      <c r="AL226" s="94"/>
      <c r="AM226" s="94"/>
      <c r="AN226" s="94"/>
      <c r="AO226" s="94"/>
      <c r="AP226" s="94"/>
      <c r="AQ226" s="94"/>
      <c r="AR226" s="94"/>
    </row>
    <row r="227" spans="1:44" hidden="1" x14ac:dyDescent="0.25">
      <c r="A227"/>
      <c r="B227"/>
      <c r="C227"/>
      <c r="D227"/>
      <c r="E227" t="s">
        <v>363</v>
      </c>
      <c r="F227" t="s">
        <v>428</v>
      </c>
      <c r="G227" t="str">
        <f>IF(Electrolysis!$E68&lt;&gt;"",Electrolysis!$E68,"")</f>
        <v/>
      </c>
      <c r="H227" t="str">
        <f>IFERROR(IF(Electrolysis!$Y68&lt;&gt;"",Electrolysis!$Y68,""),"")</f>
        <v/>
      </c>
      <c r="I227" t="e">
        <f>AD68</f>
        <v>#N/A</v>
      </c>
      <c r="X227" s="94"/>
      <c r="Y227" s="1883"/>
      <c r="Z227" s="1883"/>
      <c r="AA227" s="94"/>
      <c r="AB227" s="82"/>
      <c r="AC227" s="64"/>
      <c r="AD227" s="94"/>
      <c r="AE227" s="94"/>
      <c r="AF227" s="94"/>
      <c r="AG227" s="94"/>
      <c r="AH227" s="94"/>
      <c r="AI227" s="94"/>
      <c r="AJ227" s="94"/>
      <c r="AK227" s="94"/>
      <c r="AL227" s="94"/>
      <c r="AM227" s="94"/>
      <c r="AN227" s="94"/>
      <c r="AO227" s="94"/>
      <c r="AP227" s="94"/>
      <c r="AQ227" s="94"/>
      <c r="AR227" s="94"/>
    </row>
    <row r="228" spans="1:44" hidden="1" x14ac:dyDescent="0.25">
      <c r="A228"/>
      <c r="B228"/>
      <c r="C228"/>
      <c r="D228"/>
      <c r="E228" t="s">
        <v>363</v>
      </c>
      <c r="F228" t="s">
        <v>429</v>
      </c>
      <c r="G228" t="str">
        <f>IF(Electrolysis!$E69&lt;&gt;"",Electrolysis!$E69,"")</f>
        <v/>
      </c>
      <c r="H228" t="str">
        <f>IFERROR(IF(Electrolysis!$Y69&lt;&gt;"",Electrolysis!$Y69,""),"")</f>
        <v/>
      </c>
      <c r="I228" t="e">
        <f>AD69</f>
        <v>#N/A</v>
      </c>
      <c r="X228" s="94"/>
      <c r="Y228" s="1883"/>
      <c r="Z228" s="1883"/>
      <c r="AA228" s="94"/>
      <c r="AB228" s="82"/>
      <c r="AC228" s="64"/>
      <c r="AD228" s="94"/>
      <c r="AE228" s="94"/>
      <c r="AF228" s="94"/>
      <c r="AG228" s="94"/>
      <c r="AH228" s="94"/>
      <c r="AI228" s="94"/>
      <c r="AJ228" s="94"/>
      <c r="AK228" s="94"/>
      <c r="AL228" s="94"/>
      <c r="AM228" s="94"/>
      <c r="AN228" s="94"/>
      <c r="AO228" s="94"/>
      <c r="AP228" s="94"/>
      <c r="AQ228" s="94"/>
      <c r="AR228" s="94"/>
    </row>
    <row r="229" spans="1:44" hidden="1" x14ac:dyDescent="0.25">
      <c r="A229"/>
      <c r="B229"/>
      <c r="C229"/>
      <c r="D229"/>
      <c r="E229" t="s">
        <v>363</v>
      </c>
      <c r="F229" t="s">
        <v>430</v>
      </c>
      <c r="G229" t="str">
        <f>IF(Electrolysis!$E70&lt;&gt;"",Electrolysis!$E70,"")</f>
        <v/>
      </c>
      <c r="H229" t="str">
        <f>IFERROR(IF(Electrolysis!$Y70&lt;&gt;"",Electrolysis!$Y70,""),"")</f>
        <v/>
      </c>
      <c r="I229" t="e">
        <f>AD70</f>
        <v>#N/A</v>
      </c>
      <c r="X229" s="94"/>
      <c r="Y229" s="94"/>
      <c r="Z229" s="94"/>
      <c r="AA229" s="94"/>
      <c r="AB229" s="94"/>
      <c r="AC229" s="94"/>
      <c r="AD229" s="94"/>
      <c r="AE229" s="94"/>
      <c r="AF229" s="94"/>
      <c r="AG229" s="94"/>
      <c r="AH229" s="94"/>
      <c r="AI229" s="94"/>
      <c r="AJ229" s="94"/>
      <c r="AK229" s="94"/>
      <c r="AL229" s="94"/>
      <c r="AM229" s="94"/>
      <c r="AN229" s="94"/>
      <c r="AO229" s="94"/>
      <c r="AP229" s="94"/>
      <c r="AQ229" s="94"/>
      <c r="AR229" s="94"/>
    </row>
    <row r="230" spans="1:44" s="70" customFormat="1" hidden="1" x14ac:dyDescent="0.25">
      <c r="A230"/>
      <c r="B230"/>
      <c r="C230"/>
      <c r="D230"/>
      <c r="E230" t="s">
        <v>363</v>
      </c>
      <c r="F230" t="s">
        <v>431</v>
      </c>
      <c r="G230" s="43"/>
      <c r="H230" s="1706" t="e">
        <f>Z128</f>
        <v>#N/A</v>
      </c>
      <c r="I230" t="e">
        <f>Y128</f>
        <v>#N/A</v>
      </c>
      <c r="X230" s="94"/>
      <c r="Y230" s="94"/>
      <c r="Z230" s="94"/>
      <c r="AA230" s="94"/>
      <c r="AB230" s="94"/>
      <c r="AC230" s="94"/>
      <c r="AD230" s="94"/>
      <c r="AE230" s="94"/>
      <c r="AF230" s="94"/>
      <c r="AG230" s="94"/>
      <c r="AH230" s="94"/>
      <c r="AI230" s="94"/>
      <c r="AJ230" s="94"/>
      <c r="AK230" s="94"/>
      <c r="AL230" s="94"/>
      <c r="AM230" s="94"/>
      <c r="AN230" s="94"/>
      <c r="AO230" s="94"/>
      <c r="AP230" s="94"/>
      <c r="AQ230" s="94"/>
      <c r="AR230" s="94"/>
    </row>
    <row r="231" spans="1:44" hidden="1" x14ac:dyDescent="0.25">
      <c r="A231"/>
      <c r="B231"/>
      <c r="C231"/>
      <c r="D231"/>
      <c r="E231" t="s">
        <v>363</v>
      </c>
      <c r="F231" t="s">
        <v>432</v>
      </c>
      <c r="H231" t="e">
        <f>Z129</f>
        <v>#N/A</v>
      </c>
      <c r="I231" t="e">
        <f>Y129</f>
        <v>#N/A</v>
      </c>
      <c r="Y231" s="70"/>
      <c r="Z231" s="70"/>
      <c r="AA231" s="70"/>
      <c r="AB231" s="70"/>
      <c r="AC231" s="70"/>
      <c r="AD231" s="70"/>
      <c r="AE231" s="70"/>
      <c r="AF231" s="70"/>
      <c r="AG231" s="70"/>
      <c r="AH231" s="70"/>
      <c r="AI231" s="70"/>
      <c r="AJ231" s="70"/>
      <c r="AK231" s="70"/>
      <c r="AL231" s="70"/>
      <c r="AM231" s="70"/>
      <c r="AN231" s="70"/>
      <c r="AO231" s="70"/>
      <c r="AP231" s="70"/>
      <c r="AQ231" s="70"/>
      <c r="AR231" s="70"/>
    </row>
    <row r="232" spans="1:44" hidden="1" x14ac:dyDescent="0.25">
      <c r="A232"/>
      <c r="B232"/>
      <c r="C232"/>
      <c r="D232"/>
      <c r="E232" t="s">
        <v>363</v>
      </c>
      <c r="F232" t="s">
        <v>433</v>
      </c>
      <c r="H232" t="e">
        <f>Z130</f>
        <v>#N/A</v>
      </c>
      <c r="I232" t="e">
        <f>Y130</f>
        <v>#N/A</v>
      </c>
      <c r="Y232" s="70"/>
      <c r="Z232" s="70"/>
      <c r="AA232" s="70"/>
      <c r="AB232" s="70"/>
      <c r="AC232" s="70"/>
      <c r="AD232" s="70"/>
      <c r="AE232" s="70"/>
      <c r="AF232" s="70"/>
      <c r="AG232" s="70"/>
      <c r="AH232" s="70"/>
      <c r="AI232" s="70"/>
      <c r="AJ232" s="70"/>
      <c r="AK232" s="70"/>
      <c r="AL232" s="70"/>
      <c r="AM232" s="70"/>
      <c r="AN232" s="70"/>
      <c r="AO232" s="70"/>
      <c r="AP232" s="70"/>
      <c r="AQ232" s="70"/>
      <c r="AR232" s="70"/>
    </row>
    <row r="233" spans="1:44" hidden="1" x14ac:dyDescent="0.25">
      <c r="A233"/>
      <c r="B233"/>
      <c r="C233"/>
      <c r="D233"/>
      <c r="E233" t="s">
        <v>363</v>
      </c>
      <c r="F233" t="s">
        <v>434</v>
      </c>
      <c r="G233">
        <f>'Electricity Usage'!$E$51</f>
        <v>0</v>
      </c>
      <c r="H233" t="str" cm="1">
        <f t="array" aca="1" ref="H233" ca="1">IF(_xlfn.ANCHORARRAY(G233)&lt;&gt;0,overall_CHPFuelElecAllocation*VLOOKUP(_xlfn.TEXTAFTER(CELL("filename",$A$1),"]"),ElectricityPortionsByPathwayTable[],3,FALSE) + overall_CHPFuelSteamAllocation *VLOOKUP(_xlfn.TEXTAFTER(CELL("filename",$A$1),"]"),ElectricityPortionsByPathwayTable[],4,FALSE),"")</f>
        <v/>
      </c>
      <c r="I233" t="str" cm="1">
        <f t="array" ref="I233">IF(_xlfn.ANCHORARRAY(G233)&lt;&gt;0,('Electricity Usage'!$S$51)*'Electricity Usage'!$T$51/1000,"")</f>
        <v/>
      </c>
    </row>
    <row r="234" spans="1:44" hidden="1" x14ac:dyDescent="0.25">
      <c r="A234"/>
      <c r="B234"/>
      <c r="C234"/>
      <c r="D234"/>
      <c r="E234" t="s">
        <v>363</v>
      </c>
      <c r="F234" t="s">
        <v>435</v>
      </c>
      <c r="G234">
        <f>'Electricity Usage'!$E$38</f>
        <v>0</v>
      </c>
      <c r="H234" t="str" cm="1">
        <f t="array" aca="1" ref="H234" ca="1">IF(_xlfn.ANCHORARRAY(G234)&lt;&gt;0,overall_otherOnsiteElecGenViaCombustionFuelAmount*VLOOKUP(_xlfn.TEXTAFTER(CELL("filename",$A$1),"]"),ElectricityPortionsByPathwayTable[],3,FALSE),"")</f>
        <v/>
      </c>
      <c r="I234" t="str" cm="1">
        <f t="array" ref="I234">IF(_xlfn.ANCHORARRAY(G234)&lt;&gt;0,('Electricity Usage'!$S$38)*'Electricity Usage'!$T$38/1000,"")</f>
        <v/>
      </c>
    </row>
    <row r="235" spans="1:44" hidden="1" x14ac:dyDescent="0.25">
      <c r="A235"/>
      <c r="B235"/>
      <c r="C235"/>
      <c r="D235"/>
      <c r="E235" t="s">
        <v>363</v>
      </c>
      <c r="F235" t="s">
        <v>436</v>
      </c>
      <c r="G235">
        <f>Electrolysis!$F87</f>
        <v>0</v>
      </c>
      <c r="H235" t="str">
        <f>IF(G235&lt;&gt;0,Electrolysis!$AC87*1000,"")</f>
        <v/>
      </c>
      <c r="I235" t="str">
        <f>IF(G235&lt;&gt;0,(Electrolysis!$Y87)*Electrolysis!$Z87/1000,"")</f>
        <v/>
      </c>
    </row>
    <row r="236" spans="1:44" hidden="1" x14ac:dyDescent="0.25">
      <c r="A236"/>
      <c r="B236"/>
      <c r="C236"/>
      <c r="D236"/>
      <c r="E236" t="s">
        <v>363</v>
      </c>
      <c r="F236" t="s">
        <v>437</v>
      </c>
      <c r="G236">
        <f>Electrolysis!$F88</f>
        <v>0</v>
      </c>
      <c r="H236" t="str">
        <f>IF(G236&lt;&gt;0,Electrolysis!$AC88*1000,"")</f>
        <v/>
      </c>
      <c r="I236" t="str">
        <f>IF(G236&lt;&gt;0,(Electrolysis!$Y88)*Electrolysis!$Z88/1000,"")</f>
        <v/>
      </c>
    </row>
    <row r="237" spans="1:44" hidden="1" x14ac:dyDescent="0.25">
      <c r="A237"/>
      <c r="B237"/>
      <c r="C237"/>
      <c r="D237"/>
      <c r="E237" t="s">
        <v>363</v>
      </c>
      <c r="F237" t="s">
        <v>438</v>
      </c>
      <c r="G237">
        <f>Electrolysis!$F89</f>
        <v>0</v>
      </c>
      <c r="H237" t="str">
        <f>IF(G237&lt;&gt;0,Electrolysis!$AC89*1000,"")</f>
        <v/>
      </c>
      <c r="I237" t="str">
        <f>IF(G237&lt;&gt;0,(Electrolysis!$Y89)*Electrolysis!$Z89/1000,"")</f>
        <v/>
      </c>
      <c r="Z237" s="92"/>
      <c r="AA237" s="92"/>
    </row>
    <row r="238" spans="1:44" hidden="1" x14ac:dyDescent="0.25">
      <c r="A238"/>
      <c r="B238"/>
      <c r="C238"/>
      <c r="D238"/>
      <c r="E238" t="s">
        <v>363</v>
      </c>
      <c r="F238" t="s">
        <v>439</v>
      </c>
      <c r="G238">
        <f>Electrolysis!$F90</f>
        <v>0</v>
      </c>
      <c r="H238" t="str">
        <f>IF(G238&lt;&gt;0,Electrolysis!$AC90*1000,"")</f>
        <v/>
      </c>
      <c r="I238" t="str">
        <f>IF(G238&lt;&gt;0,(Electrolysis!$Y90)*Electrolysis!$Z90/1000,"")</f>
        <v/>
      </c>
      <c r="Y238" s="70"/>
      <c r="Z238" s="70"/>
      <c r="AA238" s="70"/>
      <c r="AB238" s="70"/>
      <c r="AC238" s="70"/>
      <c r="AD238" s="70"/>
      <c r="AE238" s="70"/>
      <c r="AF238" s="70"/>
      <c r="AG238" s="70"/>
      <c r="AH238" s="70"/>
      <c r="AI238" s="70"/>
      <c r="AJ238" s="70"/>
      <c r="AK238" s="70"/>
      <c r="AL238" s="70"/>
      <c r="AM238" s="70"/>
      <c r="AN238" s="70"/>
      <c r="AO238" s="70"/>
      <c r="AP238" s="70"/>
      <c r="AQ238" s="70"/>
      <c r="AR238" s="70"/>
    </row>
    <row r="239" spans="1:44" hidden="1" x14ac:dyDescent="0.25">
      <c r="A239"/>
      <c r="B239"/>
      <c r="C239"/>
      <c r="D239"/>
      <c r="E239" t="s">
        <v>363</v>
      </c>
      <c r="F239" t="s">
        <v>440</v>
      </c>
      <c r="G239">
        <f>Electrolysis!$F91</f>
        <v>0</v>
      </c>
      <c r="H239" t="str">
        <f>IF(G239&lt;&gt;0,Electrolysis!$AC91*1000,"")</f>
        <v/>
      </c>
      <c r="I239" t="str">
        <f>IF(G239&lt;&gt;0,(Electrolysis!$Y91+Electrolysis!$AB91)*Electrolysis!$Z91/1000,"")</f>
        <v/>
      </c>
    </row>
    <row r="240" spans="1:44" hidden="1" x14ac:dyDescent="0.25">
      <c r="A240"/>
      <c r="B240"/>
      <c r="C240"/>
      <c r="D240"/>
      <c r="E240" t="s">
        <v>363</v>
      </c>
      <c r="F240" t="s">
        <v>178</v>
      </c>
      <c r="G240"/>
      <c r="H240">
        <f>Electrolysis!$E$12</f>
        <v>0</v>
      </c>
      <c r="I240"/>
    </row>
    <row r="241" spans="1:44" hidden="1" x14ac:dyDescent="0.25">
      <c r="A241"/>
      <c r="B241"/>
      <c r="C241"/>
      <c r="D241"/>
      <c r="E241" t="s">
        <v>363</v>
      </c>
      <c r="F241" t="s">
        <v>179</v>
      </c>
      <c r="G241"/>
      <c r="H241">
        <f>Electrolysis!$E$13</f>
        <v>0</v>
      </c>
      <c r="I241"/>
      <c r="Y241" s="92"/>
    </row>
    <row r="242" spans="1:44" hidden="1" x14ac:dyDescent="0.25">
      <c r="A242"/>
      <c r="B242"/>
      <c r="C242"/>
      <c r="D242"/>
      <c r="E242" t="s">
        <v>363</v>
      </c>
      <c r="F242" t="s">
        <v>180</v>
      </c>
      <c r="G242"/>
      <c r="H242">
        <f>Electrolysis!$E$14</f>
        <v>0</v>
      </c>
      <c r="I242"/>
      <c r="Y242" s="1876"/>
      <c r="Z242" s="1876"/>
      <c r="AB242" s="92"/>
    </row>
    <row r="243" spans="1:44" s="70" customFormat="1" hidden="1" x14ac:dyDescent="0.25">
      <c r="A243"/>
      <c r="B243"/>
      <c r="C243"/>
      <c r="D243"/>
      <c r="E243" t="s">
        <v>363</v>
      </c>
      <c r="F243" t="s">
        <v>441</v>
      </c>
      <c r="G243"/>
      <c r="H243" t="s">
        <v>369</v>
      </c>
      <c r="I243"/>
      <c r="Y243" s="1876"/>
      <c r="Z243" s="1876"/>
      <c r="AA243" s="43"/>
      <c r="AB243" s="43"/>
      <c r="AC243" s="43"/>
      <c r="AD243" s="43"/>
      <c r="AE243" s="43"/>
      <c r="AF243" s="43"/>
      <c r="AG243" s="43"/>
      <c r="AH243" s="43"/>
      <c r="AI243" s="43"/>
      <c r="AJ243" s="43"/>
      <c r="AK243" s="43"/>
      <c r="AL243" s="43"/>
      <c r="AM243" s="43"/>
      <c r="AN243" s="43"/>
      <c r="AO243" s="43"/>
      <c r="AP243" s="43"/>
      <c r="AQ243" s="43"/>
      <c r="AR243" s="43"/>
    </row>
    <row r="244" spans="1:44" hidden="1" x14ac:dyDescent="0.25">
      <c r="A244"/>
      <c r="B244"/>
      <c r="C244"/>
      <c r="D244"/>
      <c r="E244" t="s">
        <v>363</v>
      </c>
      <c r="F244" t="s">
        <v>442</v>
      </c>
      <c r="G244"/>
      <c r="H244" t="s">
        <v>369</v>
      </c>
      <c r="I244"/>
    </row>
    <row r="245" spans="1:44" hidden="1" x14ac:dyDescent="0.25">
      <c r="A245"/>
      <c r="B245"/>
      <c r="C245"/>
      <c r="D245"/>
      <c r="E245" t="s">
        <v>363</v>
      </c>
      <c r="F245" t="s">
        <v>443</v>
      </c>
      <c r="G245"/>
      <c r="H245" t="s">
        <v>369</v>
      </c>
      <c r="I245"/>
    </row>
    <row r="246" spans="1:44" hidden="1" x14ac:dyDescent="0.25">
      <c r="A246"/>
      <c r="B246"/>
      <c r="C246"/>
      <c r="D246"/>
      <c r="E246" t="s">
        <v>363</v>
      </c>
      <c r="F246" t="s">
        <v>444</v>
      </c>
      <c r="G246"/>
      <c r="H246" t="s">
        <v>369</v>
      </c>
      <c r="I246"/>
    </row>
    <row r="247" spans="1:44" hidden="1" x14ac:dyDescent="0.25">
      <c r="A247"/>
      <c r="B247"/>
      <c r="C247"/>
      <c r="D247"/>
      <c r="E247" t="s">
        <v>363</v>
      </c>
      <c r="F247" t="s">
        <v>445</v>
      </c>
      <c r="G247"/>
      <c r="H247" t="s">
        <v>369</v>
      </c>
      <c r="I247"/>
    </row>
    <row r="248" spans="1:44" hidden="1" x14ac:dyDescent="0.25">
      <c r="A248"/>
      <c r="B248"/>
      <c r="C248"/>
      <c r="D248"/>
      <c r="E248" t="s">
        <v>363</v>
      </c>
      <c r="F248" t="s">
        <v>446</v>
      </c>
      <c r="G248"/>
      <c r="H248" t="s">
        <v>369</v>
      </c>
      <c r="I248"/>
    </row>
    <row r="249" spans="1:44" s="70" customFormat="1" hidden="1" x14ac:dyDescent="0.25">
      <c r="A249"/>
      <c r="B249"/>
      <c r="C249"/>
      <c r="D249"/>
      <c r="E249" t="s">
        <v>363</v>
      </c>
      <c r="F249" t="s">
        <v>447</v>
      </c>
      <c r="G249"/>
      <c r="H249" t="s">
        <v>369</v>
      </c>
      <c r="I249"/>
      <c r="Y249" s="43"/>
      <c r="Z249" s="43"/>
      <c r="AA249" s="43"/>
      <c r="AB249" s="43"/>
      <c r="AC249" s="43"/>
      <c r="AD249" s="43"/>
      <c r="AE249" s="43"/>
      <c r="AF249" s="43"/>
      <c r="AG249" s="43"/>
      <c r="AH249" s="43"/>
      <c r="AI249" s="43"/>
      <c r="AJ249" s="43"/>
      <c r="AK249" s="43"/>
      <c r="AL249" s="43"/>
      <c r="AM249" s="43"/>
      <c r="AN249" s="43"/>
      <c r="AO249" s="43"/>
      <c r="AP249" s="43"/>
      <c r="AQ249" s="43"/>
      <c r="AR249" s="43"/>
    </row>
    <row r="250" spans="1:44" hidden="1" x14ac:dyDescent="0.25">
      <c r="A250"/>
      <c r="B250"/>
      <c r="C250"/>
      <c r="D250"/>
      <c r="E250" t="s">
        <v>363</v>
      </c>
      <c r="F250" t="s">
        <v>448</v>
      </c>
      <c r="G250"/>
      <c r="H250" t="s">
        <v>369</v>
      </c>
      <c r="I250"/>
    </row>
    <row r="251" spans="1:44" hidden="1" x14ac:dyDescent="0.25">
      <c r="A251"/>
      <c r="B251"/>
      <c r="C251"/>
      <c r="D251"/>
      <c r="E251" t="s">
        <v>363</v>
      </c>
      <c r="F251" t="s">
        <v>449</v>
      </c>
      <c r="G251"/>
      <c r="H251" t="s">
        <v>369</v>
      </c>
      <c r="I251"/>
    </row>
    <row r="252" spans="1:44" hidden="1" x14ac:dyDescent="0.25">
      <c r="A252"/>
      <c r="B252"/>
      <c r="C252"/>
      <c r="D252"/>
      <c r="E252" t="s">
        <v>363</v>
      </c>
      <c r="F252" t="s">
        <v>450</v>
      </c>
      <c r="G252"/>
      <c r="H252" t="s">
        <v>369</v>
      </c>
      <c r="I252"/>
    </row>
    <row r="253" spans="1:44" hidden="1" x14ac:dyDescent="0.25">
      <c r="A253"/>
      <c r="B253"/>
      <c r="C253"/>
      <c r="D253"/>
      <c r="E253" t="s">
        <v>363</v>
      </c>
      <c r="F253" t="s">
        <v>63</v>
      </c>
      <c r="G253"/>
      <c r="H253" t="s">
        <v>369</v>
      </c>
      <c r="I253"/>
    </row>
    <row r="254" spans="1:44" hidden="1" x14ac:dyDescent="0.25">
      <c r="A254"/>
      <c r="B254"/>
      <c r="C254"/>
      <c r="D254"/>
      <c r="E254" t="s">
        <v>363</v>
      </c>
      <c r="F254" t="s">
        <v>451</v>
      </c>
      <c r="G254"/>
      <c r="H254" t="s">
        <v>369</v>
      </c>
      <c r="I254"/>
    </row>
    <row r="255" spans="1:44" hidden="1" x14ac:dyDescent="0.25">
      <c r="A255"/>
      <c r="B255"/>
      <c r="C255"/>
      <c r="D255"/>
      <c r="E255" t="s">
        <v>363</v>
      </c>
      <c r="F255" t="s">
        <v>452</v>
      </c>
      <c r="G255"/>
      <c r="H255" t="s">
        <v>369</v>
      </c>
      <c r="I255"/>
    </row>
    <row r="256" spans="1:44" hidden="1" x14ac:dyDescent="0.25">
      <c r="A256"/>
      <c r="B256"/>
      <c r="C256"/>
      <c r="D256"/>
      <c r="E256" t="s">
        <v>363</v>
      </c>
      <c r="F256" t="s">
        <v>453</v>
      </c>
      <c r="G256"/>
      <c r="H256" t="s">
        <v>369</v>
      </c>
      <c r="I256"/>
    </row>
    <row r="257" spans="1:9" hidden="1" x14ac:dyDescent="0.25">
      <c r="A257"/>
      <c r="B257"/>
      <c r="C257"/>
      <c r="D257"/>
      <c r="E257" t="s">
        <v>363</v>
      </c>
      <c r="F257" t="s">
        <v>454</v>
      </c>
      <c r="G257"/>
      <c r="H257" t="s">
        <v>369</v>
      </c>
      <c r="I257"/>
    </row>
    <row r="258" spans="1:9" hidden="1" x14ac:dyDescent="0.25">
      <c r="A258"/>
      <c r="B258"/>
      <c r="C258"/>
      <c r="D258"/>
      <c r="E258" t="s">
        <v>363</v>
      </c>
      <c r="F258" t="s">
        <v>65</v>
      </c>
      <c r="G258"/>
      <c r="H258" t="s">
        <v>369</v>
      </c>
      <c r="I258"/>
    </row>
    <row r="259" spans="1:9" hidden="1" x14ac:dyDescent="0.25">
      <c r="A259"/>
      <c r="B259"/>
      <c r="C259"/>
      <c r="D259"/>
      <c r="E259" t="s">
        <v>363</v>
      </c>
      <c r="F259" t="s">
        <v>455</v>
      </c>
      <c r="G259"/>
      <c r="H259" t="s">
        <v>369</v>
      </c>
      <c r="I259"/>
    </row>
    <row r="260" spans="1:9" hidden="1" x14ac:dyDescent="0.25">
      <c r="A260"/>
      <c r="B260"/>
      <c r="C260"/>
      <c r="D260"/>
      <c r="E260" t="s">
        <v>363</v>
      </c>
      <c r="F260" t="s">
        <v>456</v>
      </c>
      <c r="G260"/>
      <c r="H260" t="s">
        <v>369</v>
      </c>
      <c r="I260"/>
    </row>
    <row r="261" spans="1:9" hidden="1" x14ac:dyDescent="0.25">
      <c r="A261"/>
      <c r="B261"/>
      <c r="C261"/>
      <c r="D261"/>
      <c r="E261" t="s">
        <v>363</v>
      </c>
      <c r="F261" t="s">
        <v>457</v>
      </c>
      <c r="G261"/>
      <c r="H261" t="s">
        <v>369</v>
      </c>
      <c r="I261"/>
    </row>
    <row r="262" spans="1:9" hidden="1" x14ac:dyDescent="0.25">
      <c r="A262"/>
      <c r="B262"/>
      <c r="C262"/>
      <c r="D262"/>
      <c r="E262" t="s">
        <v>363</v>
      </c>
      <c r="F262" t="s">
        <v>572</v>
      </c>
      <c r="G262"/>
      <c r="H262" t="s">
        <v>369</v>
      </c>
      <c r="I262"/>
    </row>
    <row r="263" spans="1:9" hidden="1" x14ac:dyDescent="0.25">
      <c r="A263"/>
      <c r="B263"/>
      <c r="C263"/>
      <c r="D263"/>
      <c r="E263" t="s">
        <v>363</v>
      </c>
      <c r="F263" t="s">
        <v>459</v>
      </c>
      <c r="G263"/>
      <c r="H263" t="s">
        <v>369</v>
      </c>
      <c r="I263"/>
    </row>
    <row r="264" spans="1:9" hidden="1" x14ac:dyDescent="0.25">
      <c r="A264"/>
      <c r="B264"/>
      <c r="C264"/>
      <c r="D264"/>
      <c r="E264" t="s">
        <v>363</v>
      </c>
      <c r="F264" t="s">
        <v>460</v>
      </c>
      <c r="G264"/>
      <c r="H264" t="s">
        <v>369</v>
      </c>
      <c r="I264"/>
    </row>
    <row r="265" spans="1:9" hidden="1" x14ac:dyDescent="0.25">
      <c r="A265"/>
      <c r="B265"/>
      <c r="C265"/>
      <c r="D265"/>
      <c r="E265" t="s">
        <v>363</v>
      </c>
      <c r="F265" t="s">
        <v>461</v>
      </c>
      <c r="G265"/>
      <c r="H265" s="227">
        <f>SUMIF($AA$128:$AA$130,"&lt;&gt;#N/A")+SUMIF(Y60,"&lt;&gt;#N/A")</f>
        <v>0</v>
      </c>
      <c r="I265" t="s">
        <v>90</v>
      </c>
    </row>
    <row r="266" spans="1:9" hidden="1" x14ac:dyDescent="0.25">
      <c r="A266"/>
      <c r="B266"/>
      <c r="C266"/>
      <c r="D266"/>
      <c r="E266" t="s">
        <v>363</v>
      </c>
      <c r="F266" t="s">
        <v>462</v>
      </c>
      <c r="G266"/>
      <c r="H266">
        <f>SUMIF($Z$128:$Z$130,"&lt;&gt;#N/A")</f>
        <v>0</v>
      </c>
      <c r="I266" t="s">
        <v>90</v>
      </c>
    </row>
    <row r="267" spans="1:9" hidden="1" x14ac:dyDescent="0.25">
      <c r="A267"/>
      <c r="B267"/>
      <c r="C267"/>
      <c r="D267"/>
      <c r="E267" t="s">
        <v>363</v>
      </c>
      <c r="F267" t="s">
        <v>463</v>
      </c>
      <c r="G267"/>
      <c r="H267">
        <f>Electrolysis!$Y$121</f>
        <v>0</v>
      </c>
      <c r="I267" t="s">
        <v>415</v>
      </c>
    </row>
    <row r="268" spans="1:9" hidden="1" x14ac:dyDescent="0.25">
      <c r="A268"/>
      <c r="B268"/>
      <c r="C268"/>
      <c r="D268"/>
      <c r="E268" t="s">
        <v>363</v>
      </c>
      <c r="F268" t="s">
        <v>464</v>
      </c>
      <c r="G268"/>
      <c r="H268" t="s">
        <v>369</v>
      </c>
      <c r="I268"/>
    </row>
    <row r="269" spans="1:9" hidden="1" x14ac:dyDescent="0.25">
      <c r="A269"/>
      <c r="B269"/>
      <c r="C269"/>
      <c r="D269"/>
      <c r="E269" t="s">
        <v>363</v>
      </c>
      <c r="F269" t="s">
        <v>465</v>
      </c>
      <c r="G269"/>
      <c r="H269" t="s">
        <v>369</v>
      </c>
      <c r="I269"/>
    </row>
    <row r="270" spans="1:9" hidden="1" x14ac:dyDescent="0.25">
      <c r="A270"/>
      <c r="B270"/>
      <c r="C270"/>
      <c r="D270"/>
      <c r="E270" t="s">
        <v>363</v>
      </c>
      <c r="F270" t="s">
        <v>466</v>
      </c>
      <c r="G270"/>
      <c r="H270" t="s">
        <v>369</v>
      </c>
      <c r="I270"/>
    </row>
    <row r="271" spans="1:9" hidden="1" x14ac:dyDescent="0.25">
      <c r="A271"/>
      <c r="B271"/>
      <c r="C271"/>
      <c r="D271"/>
      <c r="E271" t="s">
        <v>363</v>
      </c>
      <c r="F271" t="s">
        <v>467</v>
      </c>
      <c r="G271"/>
      <c r="H271" t="s">
        <v>369</v>
      </c>
      <c r="I271"/>
    </row>
    <row r="272" spans="1:9" hidden="1" x14ac:dyDescent="0.25">
      <c r="A272"/>
      <c r="B272"/>
      <c r="C272"/>
      <c r="D272"/>
      <c r="E272" t="s">
        <v>363</v>
      </c>
      <c r="F272" t="s">
        <v>468</v>
      </c>
      <c r="G272"/>
      <c r="H272" t="s">
        <v>369</v>
      </c>
      <c r="I272"/>
    </row>
    <row r="273" spans="1:9" hidden="1" x14ac:dyDescent="0.25">
      <c r="A273"/>
      <c r="B273"/>
      <c r="C273"/>
      <c r="D273"/>
      <c r="E273" t="s">
        <v>363</v>
      </c>
      <c r="F273" t="s">
        <v>469</v>
      </c>
      <c r="G273"/>
      <c r="H273">
        <f>IFERROR(Electrolysis!$AB$137,0)</f>
        <v>0</v>
      </c>
      <c r="I273" t="s">
        <v>90</v>
      </c>
    </row>
    <row r="274" spans="1:9" hidden="1" x14ac:dyDescent="0.25">
      <c r="A274"/>
      <c r="B274"/>
      <c r="C274"/>
      <c r="D274"/>
      <c r="E274" t="s">
        <v>363</v>
      </c>
      <c r="F274" t="s">
        <v>470</v>
      </c>
      <c r="G274"/>
      <c r="H274" t="s">
        <v>369</v>
      </c>
      <c r="I274"/>
    </row>
    <row r="275" spans="1:9" hidden="1" x14ac:dyDescent="0.25">
      <c r="A275"/>
      <c r="B275"/>
      <c r="C275"/>
      <c r="D275"/>
      <c r="E275" t="s">
        <v>363</v>
      </c>
      <c r="F275" t="s">
        <v>471</v>
      </c>
      <c r="G275"/>
      <c r="H275" t="s">
        <v>369</v>
      </c>
      <c r="I275"/>
    </row>
    <row r="276" spans="1:9" hidden="1" x14ac:dyDescent="0.25">
      <c r="A276"/>
      <c r="B276"/>
      <c r="C276"/>
      <c r="D276"/>
      <c r="E276" t="s">
        <v>363</v>
      </c>
      <c r="F276" t="s">
        <v>472</v>
      </c>
      <c r="G276"/>
      <c r="H276" t="s">
        <v>369</v>
      </c>
      <c r="I276"/>
    </row>
    <row r="277" spans="1:9" hidden="1" x14ac:dyDescent="0.25">
      <c r="A277"/>
      <c r="B277"/>
      <c r="C277"/>
      <c r="D277"/>
      <c r="E277" t="s">
        <v>363</v>
      </c>
      <c r="F277" t="s">
        <v>473</v>
      </c>
      <c r="G277"/>
      <c r="H277" t="s">
        <v>369</v>
      </c>
      <c r="I277"/>
    </row>
    <row r="278" spans="1:9" hidden="1" x14ac:dyDescent="0.25">
      <c r="A278"/>
      <c r="B278"/>
      <c r="C278"/>
      <c r="D278"/>
      <c r="E278" t="s">
        <v>363</v>
      </c>
      <c r="F278" t="s">
        <v>474</v>
      </c>
      <c r="G278"/>
      <c r="H278">
        <f>IFERROR(Electrolysis!$Y$137,0)</f>
        <v>0</v>
      </c>
      <c r="I278" t="s">
        <v>90</v>
      </c>
    </row>
    <row r="279" spans="1:9" hidden="1" x14ac:dyDescent="0.25">
      <c r="A279"/>
      <c r="B279"/>
      <c r="C279"/>
      <c r="D279"/>
      <c r="E279" t="s">
        <v>363</v>
      </c>
      <c r="F279" t="str">
        <f>_xlfn.CONCAT("Quantity of ",'Coal Gasification'!$C$197, " Produced")</f>
        <v>Quantity of Product 3 Produced</v>
      </c>
      <c r="G279"/>
      <c r="H279" t="s">
        <v>369</v>
      </c>
      <c r="I279"/>
    </row>
    <row r="280" spans="1:9" hidden="1" x14ac:dyDescent="0.25">
      <c r="A280"/>
      <c r="B280"/>
      <c r="C280"/>
      <c r="D280"/>
      <c r="E280" t="s">
        <v>363</v>
      </c>
      <c r="F280" t="str">
        <f>_xlfn.CONCAT("Quantity of ",'Coal Gasification'!$C$198, " Produced")</f>
        <v>Quantity of Product 4 Produced</v>
      </c>
      <c r="G280"/>
      <c r="H280" t="s">
        <v>369</v>
      </c>
      <c r="I280"/>
    </row>
    <row r="281" spans="1:9" hidden="1" x14ac:dyDescent="0.25">
      <c r="A281"/>
      <c r="B281"/>
      <c r="C281"/>
      <c r="D281"/>
      <c r="E281" t="s">
        <v>363</v>
      </c>
      <c r="F281" t="str">
        <f>_xlfn.CONCAT("Quantity of ",'Coal Gasification'!$C$205, " Produced")</f>
        <v>Quantity of Product 5 Produced</v>
      </c>
      <c r="G281"/>
      <c r="H281" t="s">
        <v>369</v>
      </c>
      <c r="I281"/>
    </row>
    <row r="282" spans="1:9" hidden="1" x14ac:dyDescent="0.25">
      <c r="A282"/>
      <c r="B282"/>
      <c r="C282"/>
      <c r="D282"/>
      <c r="E282" t="s">
        <v>363</v>
      </c>
      <c r="F282" t="str">
        <f>_xlfn.CONCAT("Quantity of ",'Coal Gasification'!$C$206, " Produced")</f>
        <v>Quantity of Product 6 Produced</v>
      </c>
      <c r="G282"/>
      <c r="H282" t="s">
        <v>369</v>
      </c>
      <c r="I282"/>
    </row>
    <row r="283" spans="1:9" hidden="1" x14ac:dyDescent="0.25">
      <c r="A283"/>
      <c r="B283"/>
      <c r="C283"/>
      <c r="D283"/>
      <c r="E283" t="s">
        <v>363</v>
      </c>
      <c r="F283" t="str">
        <f>_xlfn.CONCAT("Quantity of ",'Coal Gasification'!$C$207, " Produced")</f>
        <v>Quantity of Product 7 Produced</v>
      </c>
      <c r="G283"/>
      <c r="H283" t="s">
        <v>369</v>
      </c>
      <c r="I283"/>
    </row>
    <row r="284" spans="1:9" hidden="1" x14ac:dyDescent="0.25">
      <c r="A284"/>
      <c r="B284"/>
      <c r="C284"/>
      <c r="D284"/>
      <c r="E284" t="s">
        <v>363</v>
      </c>
      <c r="F284" t="str">
        <f>_xlfn.CONCAT("Quantity of ",'Coal Gasification'!$C$197, " Sold")</f>
        <v>Quantity of Product 3 Sold</v>
      </c>
      <c r="G284"/>
      <c r="H284" t="s">
        <v>369</v>
      </c>
      <c r="I284"/>
    </row>
    <row r="285" spans="1:9" hidden="1" x14ac:dyDescent="0.25">
      <c r="A285"/>
      <c r="B285"/>
      <c r="C285"/>
      <c r="D285"/>
      <c r="E285" t="s">
        <v>363</v>
      </c>
      <c r="F285" t="str">
        <f>_xlfn.CONCAT("Quantity of ",'Coal Gasification'!$C$198, " Sold")</f>
        <v>Quantity of Product 4 Sold</v>
      </c>
      <c r="G285"/>
      <c r="H285" t="s">
        <v>369</v>
      </c>
      <c r="I285"/>
    </row>
    <row r="286" spans="1:9" hidden="1" x14ac:dyDescent="0.25">
      <c r="A286"/>
      <c r="B286"/>
      <c r="C286"/>
      <c r="D286"/>
      <c r="E286" t="s">
        <v>363</v>
      </c>
      <c r="F286" t="str">
        <f>_xlfn.CONCAT("Quantity of ",'Coal Gasification'!$C$205, " Sold")</f>
        <v>Quantity of Product 5 Sold</v>
      </c>
      <c r="G286"/>
      <c r="H286" t="s">
        <v>369</v>
      </c>
      <c r="I286"/>
    </row>
    <row r="287" spans="1:9" hidden="1" x14ac:dyDescent="0.25">
      <c r="A287"/>
      <c r="B287"/>
      <c r="C287"/>
      <c r="D287"/>
      <c r="E287" t="s">
        <v>363</v>
      </c>
      <c r="F287" t="str">
        <f>_xlfn.CONCAT("Quantity of ",'Coal Gasification'!$C$206, " Sold")</f>
        <v>Quantity of Product 6 Sold</v>
      </c>
      <c r="G287"/>
      <c r="H287" t="s">
        <v>369</v>
      </c>
      <c r="I287"/>
    </row>
    <row r="288" spans="1:9" hidden="1" x14ac:dyDescent="0.25">
      <c r="A288"/>
      <c r="B288"/>
      <c r="C288"/>
      <c r="D288"/>
      <c r="E288" t="s">
        <v>363</v>
      </c>
      <c r="F288" t="str">
        <f>_xlfn.CONCAT("Quantity of ",'Coal Gasification'!$C$207, " Sold")</f>
        <v>Quantity of Product 7 Sold</v>
      </c>
      <c r="G288"/>
      <c r="H288" t="s">
        <v>369</v>
      </c>
      <c r="I288"/>
    </row>
    <row r="289" spans="1:9" hidden="1" x14ac:dyDescent="0.25">
      <c r="A289"/>
      <c r="B289"/>
      <c r="C289"/>
      <c r="D289"/>
      <c r="E289" t="s">
        <v>363</v>
      </c>
      <c r="F289" t="s">
        <v>451</v>
      </c>
      <c r="G289"/>
      <c r="H289" s="227" t="e">
        <f>H290+H291</f>
        <v>#N/A</v>
      </c>
      <c r="I289" t="e">
        <f>(O32+O41)/ElectrolysisReportingItemsTable[[#This Row],[Value2]]/VLOOKUP("m3",Table13[#All],2)</f>
        <v>#N/A</v>
      </c>
    </row>
    <row r="290" spans="1:9" hidden="1" x14ac:dyDescent="0.25">
      <c r="A290"/>
      <c r="B290"/>
      <c r="C290"/>
      <c r="D290"/>
      <c r="E290" t="s">
        <v>363</v>
      </c>
      <c r="F290" t="s">
        <v>475</v>
      </c>
      <c r="G290" s="227">
        <f>F32</f>
        <v>0</v>
      </c>
      <c r="H290" s="227" t="e">
        <f>AE32</f>
        <v>#N/A</v>
      </c>
      <c r="I290" s="227" t="s">
        <v>476</v>
      </c>
    </row>
    <row r="291" spans="1:9" hidden="1" x14ac:dyDescent="0.25">
      <c r="A291"/>
      <c r="B291"/>
      <c r="C291"/>
      <c r="D291"/>
      <c r="E291" t="s">
        <v>363</v>
      </c>
      <c r="F291" t="s">
        <v>477</v>
      </c>
      <c r="G291" t="s">
        <v>478</v>
      </c>
      <c r="H291" s="227" t="e">
        <f>AB41</f>
        <v>#N/A</v>
      </c>
      <c r="I291" s="227" t="s">
        <v>476</v>
      </c>
    </row>
    <row r="292" spans="1:9" hidden="1" x14ac:dyDescent="0.25">
      <c r="A292"/>
      <c r="B292"/>
      <c r="C292"/>
      <c r="D292"/>
      <c r="E292"/>
      <c r="F292"/>
      <c r="G292"/>
      <c r="H292"/>
    </row>
    <row r="293" spans="1:9" hidden="1" x14ac:dyDescent="0.25">
      <c r="A293"/>
      <c r="B293"/>
      <c r="C293"/>
      <c r="D293"/>
      <c r="E293"/>
      <c r="F293"/>
      <c r="G293"/>
      <c r="H293"/>
    </row>
    <row r="294" spans="1:9" hidden="1" x14ac:dyDescent="0.25">
      <c r="A294"/>
      <c r="B294"/>
      <c r="C294"/>
      <c r="D294"/>
      <c r="E294" s="282" t="s">
        <v>479</v>
      </c>
      <c r="F294" s="282" t="s">
        <v>480</v>
      </c>
      <c r="G294" s="282" t="s">
        <v>481</v>
      </c>
      <c r="H294" s="282" t="s">
        <v>482</v>
      </c>
      <c r="I294" s="282" t="s">
        <v>483</v>
      </c>
    </row>
    <row r="295" spans="1:9" hidden="1" x14ac:dyDescent="0.25">
      <c r="A295"/>
      <c r="B295"/>
      <c r="C295"/>
      <c r="D295"/>
      <c r="E295" t="str">
        <f>'Hidden Lists and Summaries'!B5</f>
        <v>Embodied (Upstream)</v>
      </c>
      <c r="F295" t="s">
        <v>214</v>
      </c>
      <c r="G295" s="1703" t="e">
        <f t="shared" ref="G295:G304" si="8">H295/electrolysis_hydrogenProductionQuantity</f>
        <v>#N/A</v>
      </c>
      <c r="H295" s="227">
        <f>SUMIFS(AI$28:AI$115,AM$28:AM$115,F295)+SUMIFS(AJ$28:AJ$115,AN$28:AN$115,F295)</f>
        <v>0</v>
      </c>
      <c r="I295" t="s">
        <v>484</v>
      </c>
    </row>
    <row r="296" spans="1:9" hidden="1" x14ac:dyDescent="0.25">
      <c r="A296"/>
      <c r="B296"/>
      <c r="C296"/>
      <c r="D296"/>
      <c r="E296" s="1704" t="str">
        <f>'Hidden Lists and Summaries'!B5</f>
        <v>Embodied (Upstream)</v>
      </c>
      <c r="F296" t="s">
        <v>485</v>
      </c>
      <c r="G296" s="71" t="e">
        <f>H296/electrolysis_hydrogenProductionQuantity</f>
        <v>#N/A</v>
      </c>
      <c r="H296" s="227">
        <f>SUMIFS(AI$28:AI$115,AM$28:AM$115,F296)+SUMIFS(AJ$28:AJ$115,AN$28:AN$115,F296)</f>
        <v>0</v>
      </c>
      <c r="I296"/>
    </row>
    <row r="297" spans="1:9" hidden="1" x14ac:dyDescent="0.25">
      <c r="A297"/>
      <c r="B297"/>
      <c r="C297"/>
      <c r="D297"/>
      <c r="E297" s="1704" t="str">
        <f>'Hidden Lists and Summaries'!B5</f>
        <v>Embodied (Upstream)</v>
      </c>
      <c r="F297" t="s">
        <v>243</v>
      </c>
      <c r="G297" s="1703" t="e">
        <f t="shared" si="8"/>
        <v>#N/A</v>
      </c>
      <c r="H297" s="227">
        <f>SUMIFS(AI$28:AI$115,AM$28:AM$115,F297)+SUMIFS(AJ$28:AJ$115,AN$28:AN$115,F297)</f>
        <v>0</v>
      </c>
      <c r="I297" t="s">
        <v>484</v>
      </c>
    </row>
    <row r="298" spans="1:9" hidden="1" x14ac:dyDescent="0.25">
      <c r="A298"/>
      <c r="B298"/>
      <c r="C298"/>
      <c r="D298"/>
      <c r="E298" t="str">
        <f>'Hidden Lists and Summaries'!B5</f>
        <v>Embodied (Upstream)</v>
      </c>
      <c r="F298" t="s">
        <v>286</v>
      </c>
      <c r="G298" s="1703" t="e">
        <f t="shared" si="8"/>
        <v>#N/A</v>
      </c>
      <c r="H298" s="227">
        <f>SUMIFS(AI$28:AI$115,AM$28:AM$115,F298)+SUMIFS(AJ$28:AJ$115,AN$28:AN$115,F298)</f>
        <v>0</v>
      </c>
      <c r="I298" t="s">
        <v>484</v>
      </c>
    </row>
    <row r="299" spans="1:9" hidden="1" x14ac:dyDescent="0.25">
      <c r="A299"/>
      <c r="B299"/>
      <c r="C299"/>
      <c r="D299"/>
      <c r="E299" t="str">
        <f>'Hidden Lists and Summaries'!B5</f>
        <v>Embodied (Upstream)</v>
      </c>
      <c r="F299" t="s">
        <v>486</v>
      </c>
      <c r="G299" s="1703" t="e">
        <f t="shared" si="8"/>
        <v>#N/A</v>
      </c>
      <c r="H299" s="227">
        <f>SUMIFS(AI$28:AI$115,AM$28:AM$115,F299)+SUMIFS(AJ$28:AJ$115,AN$28:AN$115,F299)</f>
        <v>0</v>
      </c>
      <c r="I299"/>
    </row>
    <row r="300" spans="1:9" hidden="1" x14ac:dyDescent="0.25">
      <c r="A300"/>
      <c r="B300"/>
      <c r="C300"/>
      <c r="D300"/>
      <c r="E300" t="str">
        <f>'Hidden Lists and Summaries'!B6</f>
        <v>Steam Supply</v>
      </c>
      <c r="F300" s="71"/>
      <c r="G300" s="1703" t="e">
        <f t="shared" si="8"/>
        <v>#N/A</v>
      </c>
      <c r="H300" s="227">
        <f t="shared" ref="H300:H305" si="9">SUMIFS(AI$28:AI$115, AK$28:AK$115, E300)+SUMIFS(AJ$28:AJ$115,AL$28:AL$115,E300)</f>
        <v>0</v>
      </c>
      <c r="I300" t="s">
        <v>487</v>
      </c>
    </row>
    <row r="301" spans="1:9" hidden="1" x14ac:dyDescent="0.25">
      <c r="A301"/>
      <c r="B301"/>
      <c r="C301"/>
      <c r="D301"/>
      <c r="E301" t="str">
        <f>'Hidden Lists and Summaries'!B7</f>
        <v>Electricity Supply</v>
      </c>
      <c r="F301" s="71"/>
      <c r="G301" s="1703" t="e">
        <f t="shared" si="8"/>
        <v>#N/A</v>
      </c>
      <c r="H301" s="227">
        <f t="shared" si="9"/>
        <v>0</v>
      </c>
      <c r="I301" t="s">
        <v>487</v>
      </c>
    </row>
    <row r="302" spans="1:9" hidden="1" x14ac:dyDescent="0.25">
      <c r="A302"/>
      <c r="B302"/>
      <c r="C302"/>
      <c r="D302"/>
      <c r="E302" t="str">
        <f>'Hidden Lists and Summaries'!B8</f>
        <v>Fuel Combustion</v>
      </c>
      <c r="F302" s="71"/>
      <c r="G302" s="1703" t="e">
        <f t="shared" si="8"/>
        <v>#N/A</v>
      </c>
      <c r="H302" s="227">
        <f t="shared" si="9"/>
        <v>0</v>
      </c>
      <c r="I302" t="s">
        <v>487</v>
      </c>
    </row>
    <row r="303" spans="1:9" hidden="1" x14ac:dyDescent="0.25">
      <c r="A303"/>
      <c r="B303"/>
      <c r="C303"/>
      <c r="D303"/>
      <c r="E303" t="str">
        <f>'Hidden Lists and Summaries'!B9</f>
        <v>Industrial Process</v>
      </c>
      <c r="F303" s="71"/>
      <c r="G303" s="1703" t="e">
        <f t="shared" si="8"/>
        <v>#N/A</v>
      </c>
      <c r="H303" s="227">
        <f t="shared" si="9"/>
        <v>0</v>
      </c>
      <c r="I303" t="s">
        <v>487</v>
      </c>
    </row>
    <row r="304" spans="1:9" hidden="1" x14ac:dyDescent="0.25">
      <c r="A304"/>
      <c r="B304"/>
      <c r="C304"/>
      <c r="D304"/>
      <c r="E304" t="str">
        <f>'Hidden Lists and Summaries'!B10</f>
        <v>Accrued</v>
      </c>
      <c r="F304" s="71"/>
      <c r="G304" s="1703" t="e">
        <f t="shared" si="8"/>
        <v>#N/A</v>
      </c>
      <c r="H304" s="227">
        <f t="shared" si="9"/>
        <v>0</v>
      </c>
      <c r="I304" t="s">
        <v>487</v>
      </c>
    </row>
    <row r="305" spans="1:9" hidden="1" x14ac:dyDescent="0.25">
      <c r="A305"/>
      <c r="B305"/>
      <c r="C305"/>
      <c r="D305"/>
      <c r="E305" t="str">
        <f>'Hidden Lists and Summaries'!B11</f>
        <v>Fugitive</v>
      </c>
      <c r="G305" s="1703" t="e">
        <f t="shared" ref="G305" si="10">H305/electrolysis_hydrogenProductionQuantity</f>
        <v>#N/A</v>
      </c>
      <c r="H305" s="227">
        <f t="shared" si="9"/>
        <v>0</v>
      </c>
      <c r="I305" t="s">
        <v>487</v>
      </c>
    </row>
    <row r="306" spans="1:9" hidden="1" x14ac:dyDescent="0.25">
      <c r="A306"/>
      <c r="B306"/>
      <c r="C306"/>
      <c r="D306"/>
      <c r="E306" t="s">
        <v>488</v>
      </c>
      <c r="F306" s="71"/>
      <c r="G306" s="71" t="e">
        <f>H306/electrolysis_hydrogenProductionQuantity</f>
        <v>#N/A</v>
      </c>
      <c r="H306" s="227">
        <v>0</v>
      </c>
      <c r="I306"/>
    </row>
    <row r="307" spans="1:9" hidden="1" x14ac:dyDescent="0.25">
      <c r="A307"/>
      <c r="B307"/>
      <c r="C307"/>
      <c r="D307"/>
      <c r="E307" t="s">
        <v>374</v>
      </c>
      <c r="F307" s="71"/>
      <c r="G307" s="71" t="e">
        <f t="shared" ref="G307:G316" si="11">H307/electrolysis_hydrogenProductionQuantity</f>
        <v>#N/A</v>
      </c>
      <c r="H307" s="227">
        <f>O122</f>
        <v>0</v>
      </c>
      <c r="I307" t="s">
        <v>489</v>
      </c>
    </row>
    <row r="308" spans="1:9" hidden="1" x14ac:dyDescent="0.25">
      <c r="A308"/>
      <c r="B308"/>
      <c r="C308"/>
      <c r="D308"/>
      <c r="E308" t="s">
        <v>375</v>
      </c>
      <c r="F308" s="71"/>
      <c r="G308" s="71" t="e">
        <f t="shared" si="11"/>
        <v>#N/A</v>
      </c>
      <c r="H308" s="227">
        <f>O131</f>
        <v>0</v>
      </c>
      <c r="I308" t="s">
        <v>489</v>
      </c>
    </row>
    <row r="309" spans="1:9" hidden="1" x14ac:dyDescent="0.25">
      <c r="A309"/>
      <c r="B309"/>
      <c r="C309"/>
      <c r="D309"/>
      <c r="E309" t="s">
        <v>377</v>
      </c>
      <c r="F309" s="71"/>
      <c r="G309" s="71" t="e">
        <f t="shared" si="11"/>
        <v>#N/A</v>
      </c>
      <c r="H309" s="227">
        <f>O138</f>
        <v>0</v>
      </c>
      <c r="I309" t="s">
        <v>489</v>
      </c>
    </row>
    <row r="310" spans="1:9" hidden="1" x14ac:dyDescent="0.25">
      <c r="A310"/>
      <c r="B310"/>
      <c r="C310"/>
      <c r="D310"/>
      <c r="E310" t="s">
        <v>384</v>
      </c>
      <c r="F310" s="71"/>
      <c r="G310" s="71" t="e">
        <f t="shared" si="11"/>
        <v>#N/A</v>
      </c>
      <c r="H310" s="227">
        <f>O155</f>
        <v>0</v>
      </c>
      <c r="I310"/>
    </row>
    <row r="311" spans="1:9" hidden="1" x14ac:dyDescent="0.25">
      <c r="A311"/>
      <c r="B311"/>
      <c r="C311"/>
      <c r="D311"/>
      <c r="E311" s="227" t="s">
        <v>378</v>
      </c>
      <c r="F311" s="71"/>
      <c r="G311" s="227" t="e">
        <f t="shared" si="11"/>
        <v>#N/A</v>
      </c>
      <c r="H311" s="227">
        <v>0</v>
      </c>
      <c r="I311" s="227"/>
    </row>
    <row r="312" spans="1:9" hidden="1" x14ac:dyDescent="0.25">
      <c r="A312"/>
      <c r="B312"/>
      <c r="C312"/>
      <c r="D312"/>
      <c r="E312" s="227" t="s">
        <v>490</v>
      </c>
      <c r="F312" s="71"/>
      <c r="G312" s="227" t="e">
        <f t="shared" si="11"/>
        <v>#N/A</v>
      </c>
      <c r="H312" s="227">
        <v>0</v>
      </c>
      <c r="I312" s="227"/>
    </row>
    <row r="313" spans="1:9" hidden="1" x14ac:dyDescent="0.25">
      <c r="A313"/>
      <c r="B313"/>
      <c r="C313"/>
      <c r="D313"/>
      <c r="E313" s="227" t="s">
        <v>379</v>
      </c>
      <c r="F313" s="71"/>
      <c r="G313" s="227" t="e">
        <f t="shared" si="11"/>
        <v>#N/A</v>
      </c>
      <c r="H313" s="227">
        <v>0</v>
      </c>
      <c r="I313" s="227"/>
    </row>
    <row r="314" spans="1:9" hidden="1" x14ac:dyDescent="0.25">
      <c r="A314"/>
      <c r="B314"/>
      <c r="C314"/>
      <c r="D314"/>
      <c r="E314" s="227" t="s">
        <v>380</v>
      </c>
      <c r="F314" s="71"/>
      <c r="G314" s="227" t="e">
        <f t="shared" si="11"/>
        <v>#N/A</v>
      </c>
      <c r="H314" s="227">
        <v>0</v>
      </c>
      <c r="I314" s="227"/>
    </row>
    <row r="315" spans="1:9" hidden="1" x14ac:dyDescent="0.25">
      <c r="A315"/>
      <c r="B315"/>
      <c r="C315"/>
      <c r="D315"/>
      <c r="E315" s="227" t="s">
        <v>381</v>
      </c>
      <c r="F315" s="71"/>
      <c r="G315" s="227" t="e">
        <f t="shared" si="11"/>
        <v>#N/A</v>
      </c>
      <c r="H315" s="227">
        <v>0</v>
      </c>
      <c r="I315" s="227"/>
    </row>
    <row r="316" spans="1:9" hidden="1" x14ac:dyDescent="0.25">
      <c r="A316"/>
      <c r="B316"/>
      <c r="C316"/>
      <c r="D316"/>
      <c r="E316" t="s">
        <v>382</v>
      </c>
      <c r="F316" s="71"/>
      <c r="G316" s="227" t="e">
        <f t="shared" si="11"/>
        <v>#N/A</v>
      </c>
      <c r="H316" s="227">
        <v>0</v>
      </c>
      <c r="I316" s="227"/>
    </row>
    <row r="317" spans="1:9" hidden="1" x14ac:dyDescent="0.25">
      <c r="A317"/>
      <c r="B317"/>
      <c r="C317"/>
      <c r="D317"/>
      <c r="E317" s="227" t="s">
        <v>491</v>
      </c>
      <c r="F317" s="227"/>
      <c r="G317" s="227" t="e">
        <f>H317/electrolysis_hydrogenProductionQuantity</f>
        <v>#N/A</v>
      </c>
      <c r="H317" s="227">
        <f>production_transport_emissions</f>
        <v>0</v>
      </c>
      <c r="I317" s="227" t="s">
        <v>492</v>
      </c>
    </row>
    <row r="318" spans="1:9" hidden="1" x14ac:dyDescent="0.25">
      <c r="A318"/>
      <c r="B318"/>
      <c r="C318"/>
      <c r="D318"/>
      <c r="E318" s="227" t="s">
        <v>493</v>
      </c>
      <c r="F318" s="227"/>
      <c r="G318" s="227" t="e">
        <f>H318/electrolysis_hydrogenProductionQuantity</f>
        <v>#N/A</v>
      </c>
      <c r="H318" s="227">
        <f>production_storage_emissions</f>
        <v>0</v>
      </c>
      <c r="I318" s="227" t="s">
        <v>492</v>
      </c>
    </row>
    <row r="319" spans="1:9" hidden="1" x14ac:dyDescent="0.25">
      <c r="A319"/>
      <c r="B319"/>
      <c r="C319"/>
      <c r="D319"/>
      <c r="E319" s="227" t="s">
        <v>383</v>
      </c>
      <c r="F319" s="227"/>
      <c r="G319" s="227" t="e">
        <f>H319/electrolysis_hydrogenProductionQuantity</f>
        <v>#N/A</v>
      </c>
      <c r="H319" s="227">
        <f>O147</f>
        <v>0</v>
      </c>
      <c r="I319" s="227" t="s">
        <v>489</v>
      </c>
    </row>
    <row r="320" spans="1:9" hidden="1" x14ac:dyDescent="0.25">
      <c r="A320"/>
      <c r="B320"/>
      <c r="C320"/>
      <c r="D320"/>
      <c r="E320" t="s">
        <v>494</v>
      </c>
      <c r="F320"/>
      <c r="G320" s="1566"/>
      <c r="H320" s="227">
        <f>'Transport &amp; Storage - Hydrogen'!$H$121+'Transport &amp; Storage - Hydrogen'!$H$122</f>
        <v>0</v>
      </c>
      <c r="I320" s="1118" t="s">
        <v>495</v>
      </c>
    </row>
    <row r="321" spans="1:9" hidden="1" x14ac:dyDescent="0.25">
      <c r="A321"/>
      <c r="B321"/>
      <c r="C321"/>
      <c r="D321"/>
      <c r="E321" t="s">
        <v>496</v>
      </c>
      <c r="F321"/>
      <c r="G321" s="1566"/>
      <c r="H321" s="227">
        <f>'Transport &amp; Storage - Hydrogen'!$H$123</f>
        <v>0</v>
      </c>
      <c r="I321" s="1118" t="s">
        <v>495</v>
      </c>
    </row>
    <row r="322" spans="1:9" hidden="1" x14ac:dyDescent="0.25">
      <c r="A322"/>
      <c r="B322"/>
      <c r="C322"/>
      <c r="D322"/>
      <c r="E322"/>
      <c r="F322"/>
      <c r="G322"/>
      <c r="H322"/>
    </row>
    <row r="323" spans="1:9" hidden="1" x14ac:dyDescent="0.25">
      <c r="A323"/>
      <c r="B323"/>
      <c r="C323"/>
      <c r="D323"/>
      <c r="E323"/>
      <c r="F323"/>
      <c r="G323"/>
      <c r="H323"/>
    </row>
    <row r="324" spans="1:9" hidden="1" x14ac:dyDescent="0.25">
      <c r="A324"/>
      <c r="B324"/>
      <c r="C324"/>
      <c r="D324"/>
      <c r="E324"/>
      <c r="F324"/>
      <c r="G324"/>
      <c r="H324"/>
    </row>
    <row r="325" spans="1:9" hidden="1" x14ac:dyDescent="0.25">
      <c r="A325"/>
      <c r="B325"/>
      <c r="C325"/>
      <c r="D325"/>
      <c r="E325"/>
      <c r="F325"/>
      <c r="G325"/>
      <c r="H325"/>
    </row>
    <row r="326" spans="1:9" hidden="1" x14ac:dyDescent="0.25">
      <c r="A326"/>
      <c r="B326"/>
      <c r="C326"/>
      <c r="D326"/>
      <c r="E326"/>
      <c r="F326"/>
      <c r="G326"/>
      <c r="H326"/>
    </row>
    <row r="327" spans="1:9" hidden="1" x14ac:dyDescent="0.25">
      <c r="A327"/>
      <c r="B327"/>
      <c r="C327"/>
      <c r="D327"/>
      <c r="E327"/>
      <c r="F327"/>
      <c r="G327"/>
      <c r="H327"/>
    </row>
    <row r="328" spans="1:9" hidden="1" x14ac:dyDescent="0.25">
      <c r="A328"/>
      <c r="B328"/>
      <c r="C328"/>
      <c r="D328"/>
      <c r="E328"/>
      <c r="F328"/>
      <c r="G328"/>
      <c r="H328"/>
    </row>
    <row r="329" spans="1:9" hidden="1" x14ac:dyDescent="0.25">
      <c r="A329"/>
      <c r="B329"/>
      <c r="C329"/>
      <c r="D329"/>
      <c r="E329"/>
      <c r="F329"/>
      <c r="G329"/>
      <c r="H329"/>
    </row>
    <row r="330" spans="1:9" hidden="1" x14ac:dyDescent="0.25">
      <c r="A330"/>
      <c r="B330"/>
      <c r="C330"/>
      <c r="D330"/>
      <c r="E330"/>
      <c r="F330"/>
      <c r="G330"/>
      <c r="H330"/>
    </row>
    <row r="331" spans="1:9" hidden="1" x14ac:dyDescent="0.25">
      <c r="A331"/>
      <c r="B331"/>
      <c r="C331"/>
      <c r="D331"/>
      <c r="E331"/>
      <c r="F331"/>
      <c r="G331"/>
      <c r="H331"/>
    </row>
    <row r="332" spans="1:9" hidden="1" x14ac:dyDescent="0.25">
      <c r="A332"/>
      <c r="B332"/>
      <c r="C332"/>
      <c r="D332"/>
      <c r="E332"/>
      <c r="F332"/>
      <c r="G332"/>
      <c r="H332"/>
    </row>
    <row r="333" spans="1:9" hidden="1" x14ac:dyDescent="0.25">
      <c r="A333"/>
      <c r="B333"/>
      <c r="C333"/>
      <c r="D333"/>
      <c r="E333"/>
      <c r="F333"/>
      <c r="G333"/>
      <c r="H333"/>
    </row>
    <row r="334" spans="1:9" hidden="1" x14ac:dyDescent="0.25">
      <c r="A334"/>
      <c r="B334"/>
      <c r="C334"/>
      <c r="D334"/>
      <c r="E334"/>
      <c r="F334"/>
      <c r="G334"/>
      <c r="H334"/>
    </row>
    <row r="335" spans="1:9" hidden="1" x14ac:dyDescent="0.25">
      <c r="A335"/>
      <c r="B335"/>
      <c r="C335"/>
      <c r="D335"/>
      <c r="E335"/>
      <c r="F335"/>
      <c r="G335"/>
      <c r="H335"/>
    </row>
    <row r="336" spans="1:9" hidden="1" x14ac:dyDescent="0.25">
      <c r="A336"/>
      <c r="B336"/>
      <c r="C336"/>
      <c r="D336"/>
      <c r="E336"/>
      <c r="F336"/>
      <c r="G336"/>
      <c r="H336"/>
    </row>
    <row r="337" spans="1:8" hidden="1" x14ac:dyDescent="0.25">
      <c r="A337"/>
      <c r="B337"/>
      <c r="C337"/>
      <c r="D337"/>
      <c r="E337"/>
      <c r="F337"/>
      <c r="G337"/>
      <c r="H337"/>
    </row>
    <row r="338" spans="1:8" hidden="1" x14ac:dyDescent="0.25">
      <c r="E338"/>
      <c r="F338"/>
      <c r="G338"/>
      <c r="H338"/>
    </row>
    <row r="339" spans="1:8" hidden="1" x14ac:dyDescent="0.25">
      <c r="E339"/>
      <c r="F339"/>
      <c r="G339"/>
      <c r="H339"/>
    </row>
    <row r="340" spans="1:8" hidden="1" x14ac:dyDescent="0.25">
      <c r="E340"/>
      <c r="F340"/>
      <c r="G340"/>
      <c r="H340"/>
    </row>
    <row r="341" spans="1:8" hidden="1" x14ac:dyDescent="0.25">
      <c r="E341"/>
      <c r="F341"/>
      <c r="G341"/>
      <c r="H341"/>
    </row>
    <row r="342" spans="1:8" hidden="1" x14ac:dyDescent="0.25">
      <c r="E342"/>
      <c r="F342"/>
      <c r="G342"/>
      <c r="H342"/>
    </row>
    <row r="343" spans="1:8" hidden="1" x14ac:dyDescent="0.25">
      <c r="E343"/>
      <c r="F343"/>
      <c r="G343"/>
      <c r="H343"/>
    </row>
    <row r="344" spans="1:8" hidden="1" x14ac:dyDescent="0.25">
      <c r="E344"/>
      <c r="F344"/>
      <c r="G344"/>
      <c r="H344"/>
    </row>
    <row r="345" spans="1:8" hidden="1" x14ac:dyDescent="0.25">
      <c r="E345"/>
      <c r="F345"/>
      <c r="G345"/>
      <c r="H345"/>
    </row>
    <row r="346" spans="1:8" hidden="1" x14ac:dyDescent="0.25">
      <c r="E346"/>
      <c r="F346"/>
      <c r="G346"/>
      <c r="H346"/>
    </row>
    <row r="347" spans="1:8" hidden="1" x14ac:dyDescent="0.25">
      <c r="E347"/>
      <c r="F347"/>
      <c r="G347"/>
      <c r="H347"/>
    </row>
    <row r="348" spans="1:8" hidden="1" x14ac:dyDescent="0.25">
      <c r="E348"/>
      <c r="F348"/>
      <c r="G348"/>
      <c r="H348"/>
    </row>
    <row r="349" spans="1:8" hidden="1" x14ac:dyDescent="0.25">
      <c r="E349"/>
      <c r="F349"/>
      <c r="G349"/>
      <c r="H349"/>
    </row>
    <row r="350" spans="1:8" hidden="1" x14ac:dyDescent="0.25">
      <c r="E350"/>
      <c r="F350"/>
      <c r="G350"/>
      <c r="H350"/>
    </row>
    <row r="351" spans="1:8" hidden="1" x14ac:dyDescent="0.25">
      <c r="E351"/>
      <c r="F351"/>
      <c r="G351"/>
      <c r="H351"/>
    </row>
    <row r="352" spans="1:8" hidden="1" x14ac:dyDescent="0.25">
      <c r="E352"/>
      <c r="F352"/>
      <c r="G352"/>
      <c r="H352"/>
    </row>
    <row r="353" spans="5:8" hidden="1" x14ac:dyDescent="0.25">
      <c r="E353"/>
      <c r="F353"/>
      <c r="G353"/>
      <c r="H353"/>
    </row>
    <row r="354" spans="5:8" hidden="1" x14ac:dyDescent="0.25">
      <c r="E354"/>
      <c r="F354"/>
      <c r="G354"/>
      <c r="H354"/>
    </row>
  </sheetData>
  <sheetProtection sheet="1" selectLockedCells="1"/>
  <mergeCells count="29">
    <mergeCell ref="B3:Q3"/>
    <mergeCell ref="AM26:AM27"/>
    <mergeCell ref="AN26:AN27"/>
    <mergeCell ref="AI24:AN25"/>
    <mergeCell ref="H65:H66"/>
    <mergeCell ref="AI26:AI27"/>
    <mergeCell ref="AJ26:AJ27"/>
    <mergeCell ref="AK26:AK27"/>
    <mergeCell ref="AL26:AL27"/>
    <mergeCell ref="I29:I30"/>
    <mergeCell ref="C53:C54"/>
    <mergeCell ref="Y243:Z243"/>
    <mergeCell ref="AA196:AB196"/>
    <mergeCell ref="AA197:AB197"/>
    <mergeCell ref="Y215:Z215"/>
    <mergeCell ref="AA216:AB216"/>
    <mergeCell ref="AA217:AB217"/>
    <mergeCell ref="AA218:AB218"/>
    <mergeCell ref="Y227:Z227"/>
    <mergeCell ref="Y228:Z228"/>
    <mergeCell ref="AA205:AB205"/>
    <mergeCell ref="AA206:AB206"/>
    <mergeCell ref="Y242:Z242"/>
    <mergeCell ref="H83:J83"/>
    <mergeCell ref="I84:I85"/>
    <mergeCell ref="J84:J85"/>
    <mergeCell ref="K84:K85"/>
    <mergeCell ref="H38:H39"/>
    <mergeCell ref="H74:H75"/>
  </mergeCells>
  <phoneticPr fontId="3" type="noConversion"/>
  <conditionalFormatting sqref="H87:H91">
    <cfRule type="expression" dxfId="258" priority="344">
      <formula>AND(NOT(ISNUMBER(AC87)),$F87&lt;&gt;"")</formula>
    </cfRule>
  </conditionalFormatting>
  <conditionalFormatting sqref="I38:I39">
    <cfRule type="expression" dxfId="257" priority="185">
      <formula>($H$42&lt;&gt;"")</formula>
    </cfRule>
  </conditionalFormatting>
  <conditionalFormatting sqref="I41:I42">
    <cfRule type="expression" dxfId="256" priority="85">
      <formula>($H$42&lt;&gt;"")</formula>
    </cfRule>
  </conditionalFormatting>
  <conditionalFormatting sqref="K87:K91">
    <cfRule type="expression" dxfId="245" priority="345">
      <formula>AND(NOT(ISNUMBER($AB87)),$F87&lt;&gt;"")</formula>
    </cfRule>
  </conditionalFormatting>
  <dataValidations count="24">
    <dataValidation allowBlank="1" showDropDown="1" showInputMessage="1" showErrorMessage="1" sqref="AE53 C53 AD49:AD52 C49" xr:uid="{CFEDC9BC-F451-4ED8-8B87-CD251B18E2E6}"/>
    <dataValidation type="decimal" operator="greaterThanOrEqual" allowBlank="1" showInputMessage="1" showErrorMessage="1" sqref="F41:F42 G87:G91 G111:G114 J32:J34 E121 F68:F70 G98:G104 F77:F80 E129:E130 E137 H77:H80 G32:G34 F153:F154" xr:uid="{1F15AEDF-105D-4D69-96AC-7A76A43C0B72}">
      <formula1>0</formula1>
    </dataValidation>
    <dataValidation type="decimal" operator="greaterThan" allowBlank="1" showInputMessage="1" showErrorMessage="1" prompt="If no bespoke factor entered, a default will be selected." sqref="I87:J91" xr:uid="{E6478677-98B2-4250-86A3-66BAC5439AC5}">
      <formula1>0</formula1>
    </dataValidation>
    <dataValidation type="decimal" operator="greaterThanOrEqual" allowBlank="1" showInputMessage="1" showErrorMessage="1" prompt="Leave blank to use default value." sqref="H68:H70" xr:uid="{E556883D-C93E-4A65-B937-37BA86032249}">
      <formula1>0</formula1>
    </dataValidation>
    <dataValidation allowBlank="1" showInputMessage="1" showErrorMessage="1" prompt="i.e. river water, groundwater, etc." sqref="E41:E42" xr:uid="{046EAA0F-40C1-4E49-B215-E567699D8983}"/>
    <dataValidation allowBlank="1" showInputMessage="1" showErrorMessage="1" prompt="Inputs may include chemicals, materials, etc." sqref="E77" xr:uid="{C0926C59-984A-4961-BEB3-3E238428C7B0}"/>
    <dataValidation type="decimal" operator="greaterThanOrEqual" allowBlank="1" showInputMessage="1" showErrorMessage="1" prompt="If no bespoke factor is entered a default will be selected._x000a__x000a_Note no defaults exist for some fuels. Cell will appear red if no default exists_x000a_" sqref="K87:K91" xr:uid="{504D7672-1D1B-43D2-A9F5-F6FC68DD9F6E}">
      <formula1>0</formula1>
    </dataValidation>
    <dataValidation type="decimal" showInputMessage="1" showErrorMessage="1" error="Quantity sold must be equal to or less than quantity produced." sqref="F137" xr:uid="{E5B8CBBE-A71B-41B1-8C1A-B89643D81169}">
      <formula1>0</formula1>
      <formula2>E137</formula2>
    </dataValidation>
    <dataValidation type="decimal" operator="greaterThanOrEqual" showInputMessage="1" showErrorMessage="1" sqref="E128" xr:uid="{CF152D64-28EB-4836-854C-95FE7FC7D1D0}">
      <formula1>0</formula1>
    </dataValidation>
    <dataValidation type="decimal" operator="greaterThanOrEqual" allowBlank="1" showInputMessage="1" showErrorMessage="1" prompt="Leave blank to use default value" sqref="I32:I34" xr:uid="{C1D14F69-5A42-470A-B2B2-334B02348D4E}">
      <formula1>0</formula1>
    </dataValidation>
    <dataValidation allowBlank="1" showInputMessage="1" showErrorMessage="1" prompt="Leave blank to use default value" sqref="H41:H42" xr:uid="{863E4184-5D6F-4981-AAEE-0D16E53B8D9A}"/>
    <dataValidation type="decimal" operator="greaterThanOrEqual" allowBlank="1" showInputMessage="1" showErrorMessage="1" prompt="Value must be entered to use default emission factor" sqref="I41:I42" xr:uid="{9B91C426-D57C-47FE-8A03-A0601354416E}">
      <formula1>0</formula1>
    </dataValidation>
    <dataValidation allowBlank="1" showInputMessage="1" showErrorMessage="1" prompt="Enter percentage (%) purity at gate" sqref="E24" xr:uid="{9AF77378-75A1-40F5-8197-9569CB7DA105}"/>
    <dataValidation allowBlank="1" showDropDown="1" showInputMessage="1" showErrorMessage="1" prompt="Includes renewables from both onsite generation and purchased REC's" sqref="C50" xr:uid="{F65AEFC8-A722-4075-ABD4-4F8C032CD932}"/>
    <dataValidation type="decimal" operator="greaterThanOrEqual" showInputMessage="1" showErrorMessage="1" error="Quantity sold must be greater than or equal to 0." sqref="F128:F130" xr:uid="{51C83A83-9EB4-4E36-B6FC-D6BBF9C4C984}">
      <formula1>0</formula1>
    </dataValidation>
    <dataValidation type="decimal" operator="greaterThanOrEqual" allowBlank="1" showErrorMessage="1" error="Value must be greater than or equal to zero." sqref="E15 E22" xr:uid="{874C0D33-6D5A-4A8A-8AAA-4644BD184A59}">
      <formula1>0</formula1>
    </dataValidation>
    <dataValidation allowBlank="1" showInputMessage="1" showErrorMessage="1" prompt="Enter contaminant information, i.e. type and concentration" sqref="E25" xr:uid="{7E2BA0E6-47DA-4AF2-8F33-A86F690C2663}"/>
    <dataValidation type="decimal" operator="greaterThanOrEqual" allowBlank="1" showInputMessage="1" showErrorMessage="1" error="Value must be greater than or equal to zero." prompt="Input total quantity of steam produced via a Combined Heat and Power system consumed by this process. Value must be less than or equal to the total steam produced via CHP input into 'Electricity Usage' tab." sqref="E60" xr:uid="{ECEF8DC1-2A6D-449F-BA83-95153361B17E}">
      <formula1>0</formula1>
    </dataValidation>
    <dataValidation type="decimal" operator="greaterThanOrEqual" allowBlank="1" showInputMessage="1" showErrorMessage="1" error="Value must be greater than or equal to zero." prompt="Input total electricity consumption allocated to this process from all electricity sources" sqref="E49" xr:uid="{E68FB26A-53C0-4587-A5B3-CC93F574BE70}">
      <formula1>0</formula1>
    </dataValidation>
    <dataValidation type="decimal" operator="greaterThanOrEqual" allowBlank="1" showInputMessage="1" showErrorMessage="1" error="Value must be greater than or equal to zero." prompt="Input total quantity of renewable electricity allocated to this process. Value must be less than or equal to the total renewable electricity input into 'Electricity Usage' tab." sqref="E50" xr:uid="{21F1B5D6-3B08-4086-9203-7C33FB8233C8}">
      <formula1>0</formula1>
    </dataValidation>
    <dataValidation type="decimal" operator="greaterThanOrEqual" allowBlank="1" showInputMessage="1" showErrorMessage="1" error="Value must be greater than or equal to zero." prompt="Input total quantity of grid electricity allocated to this process. Value must be less than or equal to the total grid electricity input into 'Electricity Usage' tab." sqref="E52" xr:uid="{F623E8B9-8276-4BCF-9D70-1F37BBB9944A}">
      <formula1>0</formula1>
    </dataValidation>
    <dataValidation type="decimal" operator="greaterThanOrEqual" allowBlank="1" showInputMessage="1" showErrorMessage="1" error="Value must be greater than or equal to zero." prompt="Input total quantity of onsite electricity generated via fuel combustion allocated to this process, including CHP from the Electricity Usage tab. Value must be less than or equal to the total input into 'Electricity Usage' tab." sqref="E53" xr:uid="{09584B1D-2274-46D5-AA68-8249E162A12F}">
      <formula1>0</formula1>
    </dataValidation>
    <dataValidation allowBlank="1" showInputMessage="1" showErrorMessage="1" prompt="Note: All Co-Product names must be unique." sqref="C144:C146" xr:uid="{3BC88D6D-FD67-450D-AEE7-89C62E9CB8FF}"/>
    <dataValidation type="list" allowBlank="1" showInputMessage="1" showErrorMessage="1" sqref="F121 F49:F50 F52:F53" xr:uid="{DC5EEE73-6972-4FD4-AC78-33C663C18185}">
      <formula1>Energy_Units_Options</formula1>
    </dataValidation>
  </dataValidations>
  <pageMargins left="0.7" right="0.7" top="0.75" bottom="0.75" header="0.3" footer="0.3"/>
  <pageSetup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39" id="{0286F661-311C-4B9A-8718-D2BB6F4D53C9}">
            <xm:f>OR((OR(($F32='Key Values'!$B$26),($F32='Key Values'!$B$27))),(OR(($F33='Key Values'!$B$26),($F33='Key Values'!$B$27))),(OR(($F34='Key Values'!$B$26),($F34='Key Values'!$B$27))))</xm:f>
            <x14:dxf>
              <font>
                <color auto="1"/>
              </font>
              <fill>
                <patternFill patternType="solid">
                  <bgColor rgb="FF00A7D3"/>
                </patternFill>
              </fill>
            </x14:dxf>
          </x14:cfRule>
          <xm:sqref>J30</xm:sqref>
        </x14:conditionalFormatting>
        <x14:conditionalFormatting xmlns:xm="http://schemas.microsoft.com/office/excel/2006/main">
          <x14:cfRule type="expression" priority="46" id="{15A8D17A-8B9E-497F-83B0-27001AA31E1B}">
            <xm:f>OR(($F32='Key Values'!$B$26),($F32='Key Values'!$B$27))</xm:f>
            <x14:dxf>
              <border>
                <top style="thin">
                  <color auto="1"/>
                </top>
                <bottom/>
                <vertical/>
                <horizontal/>
              </border>
            </x14:dxf>
          </x14:cfRule>
          <xm:sqref>J32</xm:sqref>
        </x14:conditionalFormatting>
        <x14:conditionalFormatting xmlns:xm="http://schemas.microsoft.com/office/excel/2006/main">
          <x14:cfRule type="expression" priority="52" id="{E009B85D-6D35-44CD-B22E-2F387EB27CE3}">
            <xm:f>OR(($F32='Key Values'!$B$26),($F32='Key Values'!$B$27))</xm:f>
            <x14:dxf>
              <font>
                <color auto="1"/>
              </font>
              <fill>
                <patternFill>
                  <bgColor theme="5" tint="0.59996337778862885"/>
                </patternFill>
              </fill>
              <border>
                <left style="hair">
                  <color auto="1"/>
                </left>
                <right style="thin">
                  <color auto="1"/>
                </right>
                <top/>
                <bottom/>
              </border>
            </x14:dxf>
          </x14:cfRule>
          <xm:sqref>J32:J34</xm:sqref>
        </x14:conditionalFormatting>
        <x14:conditionalFormatting xmlns:xm="http://schemas.microsoft.com/office/excel/2006/main">
          <x14:cfRule type="expression" priority="37" id="{116C1379-22D8-4AD9-9416-6E9D772389C9}">
            <xm:f>AND(NOT(OR(($F34='Key Values'!$B$26),($F34='Key Values'!$B$27))),OR(($F33='Key Values'!$B$26),($F33='Key Values'!$B$27)))</xm:f>
            <x14:dxf>
              <border>
                <bottom style="thin">
                  <color auto="1"/>
                </bottom>
                <vertical/>
                <horizontal/>
              </border>
            </x14:dxf>
          </x14:cfRule>
          <x14:cfRule type="expression" priority="38" id="{EFEB816E-F029-48B2-9440-52F95817843A}">
            <xm:f>AND(NOT(OR(($F32='Key Values'!$B$26),($F32='Key Values'!$B$27))),OR(($F33='Key Values'!$B$26),($F33='Key Values'!$B$27)))</xm:f>
            <x14:dxf>
              <border>
                <top style="thin">
                  <color auto="1"/>
                </top>
                <vertical/>
                <horizontal/>
              </border>
            </x14:dxf>
          </x14:cfRule>
          <x14:cfRule type="expression" priority="41" id="{3751423B-696B-4887-9752-EE1D0158A786}">
            <xm:f>AND(NOT(OR(($F33='Key Values'!$B$26),($F33='Key Values'!$B$27))),OR(($F32='Key Values'!$B$26),($F32='Key Values'!$B$27)))</xm:f>
            <x14:dxf>
              <border>
                <top style="thin">
                  <color auto="1"/>
                </top>
                <vertical/>
                <horizontal/>
              </border>
            </x14:dxf>
          </x14:cfRule>
          <x14:cfRule type="expression" priority="42" id="{56BE9B6E-FBD5-4236-9428-21A2AC170535}">
            <xm:f>AND(NOT(OR(($F33='Key Values'!$B$26),($F33='Key Values'!$B$27))),OR(($F34='Key Values'!$B$26),($F34='Key Values'!$B$27)))</xm:f>
            <x14:dxf>
              <border>
                <bottom style="thin">
                  <color auto="1"/>
                </bottom>
                <vertical/>
                <horizontal/>
              </border>
            </x14:dxf>
          </x14:cfRule>
          <x14:cfRule type="expression" priority="45" id="{C9CA2B79-AEF4-46E1-B513-FD35AB407BA6}">
            <xm:f>AND(OR(($F32='Key Values'!$B$26),($F32='Key Values'!$B$27)),OR(($F33='Key Values'!$B$26),($F33='Key Values'!$B$27)))</xm:f>
            <x14:dxf>
              <border>
                <top style="hair">
                  <color auto="1"/>
                </top>
                <vertical/>
                <horizontal/>
              </border>
            </x14:dxf>
          </x14:cfRule>
          <x14:cfRule type="expression" priority="47" id="{669E5F2F-5928-4C66-8DB4-689165893067}">
            <xm:f>AND(OR(($F33='Key Values'!$B$26),($F33='Key Values'!$B$27)),OR(($F34='Key Values'!$B$26),($F34='Key Values'!$B$27)))</xm:f>
            <x14:dxf>
              <border>
                <bottom style="hair">
                  <color auto="1"/>
                </bottom>
                <vertical/>
                <horizontal/>
              </border>
            </x14:dxf>
          </x14:cfRule>
          <xm:sqref>J33</xm:sqref>
        </x14:conditionalFormatting>
        <x14:conditionalFormatting xmlns:xm="http://schemas.microsoft.com/office/excel/2006/main">
          <x14:cfRule type="expression" priority="49" id="{BE66C6EB-569F-42A4-862E-DE53356DAFAC}">
            <xm:f>OR(($F34='Key Values'!$B$26),($F34='Key Values'!$B$27))</xm:f>
            <x14:dxf>
              <border>
                <bottom style="thin">
                  <color auto="1"/>
                </bottom>
                <vertical/>
                <horizontal/>
              </border>
            </x14:dxf>
          </x14:cfRule>
          <xm:sqref>J34</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27356AB5-77C0-4EA4-B8B2-22D4C2155909}">
          <x14:formula1>
            <xm:f>'Key Values'!$B$20:$B$27</xm:f>
          </x14:formula1>
          <xm:sqref>F32:F34</xm:sqref>
        </x14:dataValidation>
        <x14:dataValidation type="list" allowBlank="1" showInputMessage="1" showErrorMessage="1" xr:uid="{F835E706-0D46-4442-B396-0807C7CF1ED2}">
          <x14:formula1>
            <xm:f>'Key Values'!$B$35:$B$37</xm:f>
          </x14:formula1>
          <xm:sqref>E87:E91</xm:sqref>
        </x14:dataValidation>
        <x14:dataValidation type="list" allowBlank="1" showInputMessage="1" showErrorMessage="1" xr:uid="{DBD04A9E-79CA-4508-8712-2F21037EDB6F}">
          <x14:formula1>
            <xm:f>'Hidden Lists and Summaries'!$B$29:$B$34</xm:f>
          </x14:formula1>
          <xm:sqref>G77:G80 G144:G146</xm:sqref>
        </x14:dataValidation>
        <x14:dataValidation type="list" allowBlank="1" showInputMessage="1" showErrorMessage="1" xr:uid="{4EA820B3-496B-4FA8-A1BF-283EC95D37B0}">
          <x14:formula1>
            <xm:f>'Key Values'!$B$313:$B$317</xm:f>
          </x14:formula1>
          <xm:sqref>G41:G42 H32:H34</xm:sqref>
        </x14:dataValidation>
        <x14:dataValidation type="list" allowBlank="1" showInputMessage="1" showErrorMessage="1" xr:uid="{8D218123-627F-4C25-98EB-BDE61697C6DB}">
          <x14:formula1>
            <xm:f>'Key Values'!$B$291:$B$292</xm:f>
          </x14:formula1>
          <xm:sqref>G68:G70 G137 G128:G130 H98:H104 F15 F22 F60</xm:sqref>
        </x14:dataValidation>
        <x14:dataValidation type="list" allowBlank="1" showDropDown="1" showInputMessage="1" showErrorMessage="1" xr:uid="{9E27769E-00C5-4309-BE79-2B0DADBDFB5E}">
          <x14:formula1>
            <xm:f>'Key Values'!$B$291</xm:f>
          </x14:formula1>
          <xm:sqref>G153:G154</xm:sqref>
        </x14:dataValidation>
        <x14:dataValidation type="list" allowBlank="1" showInputMessage="1" showErrorMessage="1" xr:uid="{696E5B67-533D-44A8-983B-CB5381921EF2}">
          <x14:formula1>
            <xm:f>'Key Values'!$B$189:$B$192</xm:f>
          </x14:formula1>
          <xm:sqref>E98:E104</xm:sqref>
        </x14:dataValidation>
        <x14:dataValidation type="list" operator="greaterThan" allowBlank="1" showInputMessage="1" showErrorMessage="1" xr:uid="{19848BC9-BB30-4E1A-B077-9AEA59367171}">
          <x14:formula1>
            <xm:f>'Key Values'!$B$197:$B$204</xm:f>
          </x14:formula1>
          <xm:sqref>J68:J70 H128:H130</xm:sqref>
        </x14:dataValidation>
        <x14:dataValidation type="list" allowBlank="1" showInputMessage="1" showErrorMessage="1" xr:uid="{BB85E3F0-11CF-4365-A708-17801009299F}">
          <x14:formula1>
            <xm:f>IF($E$104='Key Values'!$B$192,'Key Values'!$B$221,'Key Values'!$B$222:$B$234)</xm:f>
          </x14:formula1>
          <xm:sqref>F104</xm:sqref>
        </x14:dataValidation>
        <x14:dataValidation type="list" allowBlank="1" showInputMessage="1" showErrorMessage="1" xr:uid="{4D80DEED-A0B2-44B8-98C2-EE2591915D40}">
          <x14:formula1>
            <xm:f>IF($E$103='Key Values'!$B$192,'Key Values'!$B$221,'Key Values'!$B$222:$B$234)</xm:f>
          </x14:formula1>
          <xm:sqref>F103</xm:sqref>
        </x14:dataValidation>
        <x14:dataValidation type="list" allowBlank="1" showInputMessage="1" showErrorMessage="1" xr:uid="{700634D1-E53E-42F3-B2C9-3475B2CEAF4A}">
          <x14:formula1>
            <xm:f>IF($E$102='Key Values'!$B$192,'Key Values'!$B$221,'Key Values'!$B$222:$B$234)</xm:f>
          </x14:formula1>
          <xm:sqref>F102</xm:sqref>
        </x14:dataValidation>
        <x14:dataValidation type="list" allowBlank="1" showInputMessage="1" showErrorMessage="1" xr:uid="{679DECC5-7498-4C8E-8066-832CB2721970}">
          <x14:formula1>
            <xm:f>IF($E$100='Key Values'!$B$192,'Key Values'!$B$221,'Key Values'!$B$222:$B$234)</xm:f>
          </x14:formula1>
          <xm:sqref>F100</xm:sqref>
        </x14:dataValidation>
        <x14:dataValidation type="list" allowBlank="1" showInputMessage="1" showErrorMessage="1" xr:uid="{1511D2E5-CAEF-47D9-8279-A517BA988495}">
          <x14:formula1>
            <xm:f>IF($E$99='Key Values'!$B$192,'Key Values'!$B$221,'Key Values'!$B$222:$B$234)</xm:f>
          </x14:formula1>
          <xm:sqref>F99</xm:sqref>
        </x14:dataValidation>
        <x14:dataValidation type="list" allowBlank="1" showInputMessage="1" showErrorMessage="1" xr:uid="{8B933255-D2BC-46DF-B8B2-009F36A96A27}">
          <x14:formula1>
            <xm:f>IF($E$98='Key Values'!$B$192,'Key Values'!$B$221,'Key Values'!$B$222:$B$234)</xm:f>
          </x14:formula1>
          <xm:sqref>F98</xm:sqref>
        </x14:dataValidation>
        <x14:dataValidation type="list" allowBlank="1" showInputMessage="1" showErrorMessage="1" xr:uid="{2863885F-46E6-4F57-9C53-F2E9FB234A98}">
          <x14:formula1>
            <xm:f>IF($E$101='Key Values'!$B$192,'Key Values'!$B$221,'Key Values'!$B$222:$B$234)</xm:f>
          </x14:formula1>
          <xm:sqref>F101</xm:sqref>
        </x14:dataValidation>
        <x14:dataValidation type="list" allowBlank="1" showInputMessage="1" showErrorMessage="1" xr:uid="{EDF09EEE-1E58-4901-9D7A-E1CFD7796394}">
          <x14:formula1>
            <xm:f>'Key Values'!$B$209:$B$217</xm:f>
          </x14:formula1>
          <xm:sqref>I68:I70</xm:sqref>
        </x14:dataValidation>
        <x14:dataValidation type="list" allowBlank="1" showInputMessage="1" showErrorMessage="1" xr:uid="{B9E0A8E9-6EB5-4076-B8DD-B8DBC30249C4}">
          <x14:formula1>
            <xm:f>'Hidden Lists and Summaries'!$B$5:$B$11</xm:f>
          </x14:formula1>
          <xm:sqref>F111:F114</xm:sqref>
        </x14:dataValidation>
        <x14:dataValidation type="list" allowBlank="1" showInputMessage="1" showErrorMessage="1" xr:uid="{A452E9DC-9926-4682-B673-20A9DA480DAA}">
          <x14:formula1>
            <xm:f>IF(E87="Solid Fuel", 'Key Values'!$B$41:$B$58,IF(E87="Gaseous Fuel",'Key Values'!$B$72:$B$85,'Key Values'!$B$101:$B$120))</xm:f>
          </x14:formula1>
          <xm:sqref>F87:F91</xm:sqref>
        </x14:dataValidation>
        <x14:dataValidation type="list" allowBlank="1" showInputMessage="1" showErrorMessage="1" prompt="Cell will appear red if incompatible unit is selected" xr:uid="{619222EE-1862-4EEB-8DD3-6697E4A92838}">
          <x14:formula1>
            <xm:f>IF(OR(AND(E87="Liquid Fuel", _xlfn.IFNA(VLOOKUP(F87,'Key Values'!$B$101:$H$120,3,FALSE)="GJ/t", FALSE) ),E87="Solid Fuel"),'Key Values'!$B$291:$B$292, 'Key Values'!$B$296:$B$298)</xm:f>
          </x14:formula1>
          <xm:sqref>H87:H91</xm:sqref>
        </x14:dataValidation>
        <x14:dataValidation type="list" allowBlank="1" showInputMessage="1" showErrorMessage="1" xr:uid="{52CA0824-A026-485D-AAB8-5AF9F0321903}">
          <x14:formula1>
            <xm:f>'Key Values'!B$291:B$292</xm:f>
          </x14:formula1>
          <xm:sqref>H111:H114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2EF6-CC28-47CA-ABE2-FA6A5F61DA0F}">
  <sheetPr codeName="Sheet9">
    <tabColor theme="7" tint="0.39997558519241921"/>
  </sheetPr>
  <dimension ref="A1:XFD391"/>
  <sheetViews>
    <sheetView showGridLines="0" zoomScaleNormal="100" workbookViewId="0">
      <pane xSplit="4" ySplit="6" topLeftCell="E81" activePane="bottomRight" state="frozen"/>
      <selection pane="topRight" activeCell="E1" sqref="E1"/>
      <selection pane="bottomLeft" activeCell="A7" sqref="A7"/>
      <selection pane="bottomRight" activeCell="G82" sqref="G82"/>
    </sheetView>
  </sheetViews>
  <sheetFormatPr defaultColWidth="0" defaultRowHeight="15.5" zeroHeight="1" x14ac:dyDescent="0.25"/>
  <cols>
    <col min="1" max="1" width="3.453125" style="1069" customWidth="1"/>
    <col min="2" max="2" width="3.54296875" style="1069" customWidth="1"/>
    <col min="3" max="3" width="44.453125" style="1069" customWidth="1"/>
    <col min="4" max="4" width="4.54296875" style="1069" customWidth="1"/>
    <col min="5" max="11" width="40.54296875" style="1069" customWidth="1"/>
    <col min="12" max="13" width="11.81640625" style="1069" customWidth="1"/>
    <col min="14" max="14" width="24.1796875" style="1069" customWidth="1"/>
    <col min="15" max="15" width="29.453125" style="1069" customWidth="1"/>
    <col min="16" max="16" width="5.81640625" style="1069" customWidth="1"/>
    <col min="17" max="17" width="8.54296875" style="1069" customWidth="1"/>
    <col min="18" max="18" width="3.453125" style="1069" customWidth="1"/>
    <col min="19" max="24" width="9.1796875" style="1069" hidden="1"/>
    <col min="25" max="30" width="25.1796875" style="1579" hidden="1"/>
    <col min="31" max="32" width="12.54296875" style="1579" hidden="1"/>
    <col min="33" max="39" width="0" style="1579" hidden="1"/>
    <col min="40" max="16383" width="0" style="1069" hidden="1"/>
  </cols>
  <sheetData>
    <row r="1" spans="2:39" s="1069" customFormat="1" ht="18" customHeight="1" x14ac:dyDescent="0.25">
      <c r="Y1" s="1579"/>
      <c r="Z1" s="1579"/>
      <c r="AA1" s="1579"/>
      <c r="AB1" s="1579"/>
      <c r="AC1" s="1579"/>
      <c r="AD1" s="1579"/>
      <c r="AE1" s="1579"/>
      <c r="AF1" s="1579"/>
      <c r="AG1" s="1579"/>
      <c r="AH1" s="1579"/>
      <c r="AI1" s="1579"/>
      <c r="AJ1" s="1579"/>
      <c r="AK1" s="1579"/>
      <c r="AL1" s="1579"/>
      <c r="AM1" s="1579"/>
    </row>
    <row r="2" spans="2:39" s="1069" customFormat="1" ht="102" customHeight="1" x14ac:dyDescent="0.25">
      <c r="E2"/>
      <c r="Y2" s="1579"/>
      <c r="Z2" s="1579"/>
      <c r="AA2" s="1579"/>
      <c r="AB2" s="1579"/>
      <c r="AC2" s="1579"/>
      <c r="AD2" s="1579"/>
      <c r="AE2" s="1579"/>
      <c r="AF2" s="1579"/>
      <c r="AG2" s="1579"/>
      <c r="AH2" s="1579"/>
      <c r="AI2" s="1579"/>
      <c r="AJ2" s="1579"/>
      <c r="AK2" s="1579"/>
      <c r="AL2" s="1579"/>
      <c r="AM2" s="1579"/>
    </row>
    <row r="3" spans="2:39" s="1069" customFormat="1" ht="42.75" customHeight="1" x14ac:dyDescent="0.25">
      <c r="B3" s="1884" t="s">
        <v>175</v>
      </c>
      <c r="C3" s="1884"/>
      <c r="D3" s="1884"/>
      <c r="E3" s="1884"/>
      <c r="F3" s="1884"/>
      <c r="G3" s="1884"/>
      <c r="H3" s="1884"/>
      <c r="I3" s="1884"/>
      <c r="J3" s="1884"/>
      <c r="K3" s="1884"/>
      <c r="L3" s="1884"/>
      <c r="M3" s="1884"/>
      <c r="N3" s="1884"/>
      <c r="O3" s="1884"/>
      <c r="P3" s="1884"/>
      <c r="Q3" s="1884"/>
      <c r="Y3" s="1579"/>
      <c r="Z3" s="1579"/>
      <c r="AA3" s="1579"/>
      <c r="AB3" s="1579"/>
      <c r="AC3" s="1579"/>
      <c r="AD3" s="1579"/>
      <c r="AE3" s="1579"/>
      <c r="AF3" s="1579"/>
      <c r="AG3" s="1579"/>
      <c r="AH3" s="1579"/>
      <c r="AI3" s="1579"/>
      <c r="AJ3" s="1579"/>
      <c r="AK3" s="1579"/>
      <c r="AL3" s="1579"/>
      <c r="AM3" s="1579"/>
    </row>
    <row r="4" spans="2:39" s="1069" customFormat="1" ht="15.65" customHeight="1" x14ac:dyDescent="0.25">
      <c r="B4" s="1070"/>
      <c r="C4" s="1070"/>
      <c r="D4" s="1070"/>
      <c r="E4" s="1070"/>
      <c r="F4" s="1070"/>
      <c r="G4" s="1070"/>
      <c r="H4" s="1070"/>
      <c r="I4" s="1070"/>
      <c r="J4" s="1070"/>
      <c r="K4" s="1070"/>
      <c r="L4" s="1070"/>
      <c r="M4" s="1070"/>
      <c r="N4" s="1070"/>
      <c r="O4" s="1070"/>
      <c r="P4" s="1070"/>
      <c r="Q4" s="1070"/>
      <c r="Y4" s="1722"/>
      <c r="Z4" s="1723"/>
      <c r="AA4" s="1723"/>
      <c r="AB4" s="1723"/>
      <c r="AC4" s="1723"/>
      <c r="AD4" s="1723"/>
      <c r="AE4" s="1723"/>
      <c r="AF4" s="1724"/>
      <c r="AG4" s="1579"/>
      <c r="AH4" s="1579"/>
      <c r="AI4" s="1579"/>
      <c r="AJ4" s="1579"/>
      <c r="AK4" s="1579"/>
      <c r="AL4" s="1579"/>
      <c r="AM4" s="1579"/>
    </row>
    <row r="5" spans="2:39" s="1069" customFormat="1" ht="15.65" customHeight="1" x14ac:dyDescent="0.25">
      <c r="B5" s="1070"/>
      <c r="C5" s="1074" t="s">
        <v>497</v>
      </c>
      <c r="D5" s="1070"/>
      <c r="E5" s="1070"/>
      <c r="F5" s="1070"/>
      <c r="G5" s="1070"/>
      <c r="H5" s="1070"/>
      <c r="I5" s="1070"/>
      <c r="J5" s="1070"/>
      <c r="K5" s="1070"/>
      <c r="L5" s="1070"/>
      <c r="M5" s="1070"/>
      <c r="N5" s="1070"/>
      <c r="O5" s="1070"/>
      <c r="P5" s="1070"/>
      <c r="Q5" s="1070"/>
      <c r="Y5" s="1725" t="s">
        <v>72</v>
      </c>
      <c r="Z5" s="1726"/>
      <c r="AA5" s="1726"/>
      <c r="AB5" s="1726"/>
      <c r="AC5" s="1726"/>
      <c r="AD5" s="1726"/>
      <c r="AE5" s="1726"/>
      <c r="AF5" s="1727"/>
      <c r="AG5" s="1579"/>
      <c r="AH5" s="1579"/>
      <c r="AI5" s="1579"/>
      <c r="AJ5" s="1579"/>
      <c r="AK5" s="1579"/>
      <c r="AL5" s="1579"/>
      <c r="AM5" s="1579"/>
    </row>
    <row r="6" spans="2:39" s="1069" customFormat="1" ht="15.65" customHeight="1" x14ac:dyDescent="0.25">
      <c r="B6" s="1070"/>
      <c r="C6" s="1070"/>
      <c r="D6" s="1070"/>
      <c r="E6" s="1070"/>
      <c r="F6" s="1070"/>
      <c r="G6" s="1070"/>
      <c r="H6" s="1070"/>
      <c r="I6" s="1070"/>
      <c r="J6" s="1070"/>
      <c r="K6" s="1070"/>
      <c r="L6" s="1070"/>
      <c r="M6" s="1070"/>
      <c r="N6" s="1070"/>
      <c r="O6" s="1070"/>
      <c r="P6" s="1070"/>
      <c r="Q6" s="1070"/>
      <c r="Y6" s="1728"/>
      <c r="Z6" s="1726"/>
      <c r="AA6" s="1726"/>
      <c r="AB6" s="1726"/>
      <c r="AC6" s="1726"/>
      <c r="AD6" s="1726"/>
      <c r="AE6" s="1726"/>
      <c r="AF6" s="1727"/>
      <c r="AG6" s="1579"/>
      <c r="AH6" s="1579"/>
      <c r="AI6" s="1579"/>
      <c r="AJ6" s="1579"/>
      <c r="AK6" s="1579"/>
      <c r="AL6" s="1579"/>
      <c r="AM6" s="1579"/>
    </row>
    <row r="7" spans="2:39" s="1069" customFormat="1" ht="15.65" customHeight="1" x14ac:dyDescent="0.25">
      <c r="Y7" s="1625"/>
      <c r="Z7" s="1584"/>
      <c r="AA7" s="1584"/>
      <c r="AB7" s="1584"/>
      <c r="AC7" s="1584"/>
      <c r="AD7" s="1584"/>
      <c r="AE7" s="1584"/>
      <c r="AF7" s="1585"/>
      <c r="AG7" s="1579"/>
      <c r="AH7" s="1579"/>
      <c r="AI7" s="1579"/>
      <c r="AJ7" s="1579"/>
      <c r="AK7" s="1579"/>
      <c r="AL7" s="1579"/>
      <c r="AM7" s="1579"/>
    </row>
    <row r="8" spans="2:39" s="1069" customFormat="1" ht="15.65" customHeight="1" x14ac:dyDescent="0.25">
      <c r="B8" s="1081"/>
      <c r="C8" s="1082"/>
      <c r="D8" s="1082"/>
      <c r="E8" s="1082"/>
      <c r="F8" s="1082"/>
      <c r="G8" s="1082"/>
      <c r="H8" s="1082"/>
      <c r="I8" s="1082"/>
      <c r="J8" s="1082"/>
      <c r="K8" s="1082"/>
      <c r="L8" s="1082"/>
      <c r="M8" s="1082"/>
      <c r="N8" s="1082"/>
      <c r="O8" s="1082"/>
      <c r="P8" s="1082"/>
      <c r="Q8" s="1083"/>
      <c r="Y8" s="1625"/>
      <c r="Z8" s="1584"/>
      <c r="AA8" s="1584"/>
      <c r="AB8" s="1584"/>
      <c r="AC8" s="1584"/>
      <c r="AD8" s="1584"/>
      <c r="AE8" s="1584"/>
      <c r="AF8" s="1585"/>
      <c r="AG8" s="1579"/>
      <c r="AH8" s="1579"/>
      <c r="AI8" s="1579"/>
      <c r="AJ8" s="1579"/>
      <c r="AK8" s="1579"/>
      <c r="AL8" s="1579"/>
      <c r="AM8" s="1579"/>
    </row>
    <row r="9" spans="2:39" s="1069" customFormat="1" ht="15.65" customHeight="1" x14ac:dyDescent="0.25">
      <c r="B9" s="1084"/>
      <c r="C9" s="1085" t="s">
        <v>1314</v>
      </c>
      <c r="D9" s="1086"/>
      <c r="E9" s="1086"/>
      <c r="F9" s="1086"/>
      <c r="G9" s="1086"/>
      <c r="H9" s="1086"/>
      <c r="I9" s="1086"/>
      <c r="J9" s="1086"/>
      <c r="K9" s="1086"/>
      <c r="L9" s="1086"/>
      <c r="M9" s="1086"/>
      <c r="N9" s="1086"/>
      <c r="O9" s="1086"/>
      <c r="P9" s="1086"/>
      <c r="Q9" s="1087"/>
      <c r="Y9" s="1623"/>
      <c r="Z9" s="1584"/>
      <c r="AA9" s="1584"/>
      <c r="AB9" s="1584"/>
      <c r="AC9" s="1584"/>
      <c r="AD9" s="1584"/>
      <c r="AE9" s="1584"/>
      <c r="AF9" s="1585"/>
      <c r="AG9" s="1579"/>
      <c r="AH9" s="1579"/>
      <c r="AI9" s="1579"/>
      <c r="AJ9" s="1579"/>
      <c r="AK9" s="1579"/>
      <c r="AL9" s="1579"/>
      <c r="AM9" s="1579"/>
    </row>
    <row r="10" spans="2:39" s="1069" customFormat="1" ht="15.65" customHeight="1" x14ac:dyDescent="0.25">
      <c r="B10" s="1089"/>
      <c r="C10" s="1090"/>
      <c r="D10" s="1090"/>
      <c r="E10" s="1091" t="s">
        <v>177</v>
      </c>
      <c r="F10" s="1091"/>
      <c r="G10" s="1090"/>
      <c r="H10" s="1092"/>
      <c r="I10" s="1092"/>
      <c r="J10" s="1093"/>
      <c r="K10" s="1090"/>
      <c r="L10" s="1090"/>
      <c r="M10" s="1090"/>
      <c r="N10" s="1090"/>
      <c r="O10" s="1090"/>
      <c r="P10" s="1090"/>
      <c r="Q10" s="1094"/>
      <c r="Y10" s="1623"/>
      <c r="Z10" s="1584"/>
      <c r="AA10" s="1584"/>
      <c r="AB10" s="1584"/>
      <c r="AC10" s="1584"/>
      <c r="AD10" s="1584"/>
      <c r="AE10" s="1584"/>
      <c r="AF10" s="1585"/>
      <c r="AG10" s="1579"/>
      <c r="AH10" s="1579"/>
      <c r="AI10" s="1579"/>
      <c r="AJ10" s="1579"/>
      <c r="AK10" s="1579"/>
      <c r="AL10" s="1579"/>
      <c r="AM10" s="1579"/>
    </row>
    <row r="11" spans="2:39" s="1069" customFormat="1" ht="15.65" customHeight="1" x14ac:dyDescent="0.25">
      <c r="B11" s="1095"/>
      <c r="C11" s="1096"/>
      <c r="D11" s="1096"/>
      <c r="E11" s="1097"/>
      <c r="F11" s="1096"/>
      <c r="G11" s="1096"/>
      <c r="H11" s="1098"/>
      <c r="I11" s="1098"/>
      <c r="J11" s="1096"/>
      <c r="K11" s="1096"/>
      <c r="L11" s="1096"/>
      <c r="M11" s="1096"/>
      <c r="N11" s="1096"/>
      <c r="O11" s="1096"/>
      <c r="P11" s="1096"/>
      <c r="Q11" s="1099"/>
      <c r="Y11" s="1623"/>
      <c r="Z11" s="1584"/>
      <c r="AA11" s="1584"/>
      <c r="AB11" s="1584"/>
      <c r="AC11" s="1584"/>
      <c r="AD11" s="1584"/>
      <c r="AE11" s="1584"/>
      <c r="AF11" s="1585"/>
      <c r="AG11" s="1579"/>
      <c r="AH11" s="1579"/>
      <c r="AI11" s="1579"/>
      <c r="AJ11" s="1579"/>
      <c r="AK11" s="1579"/>
      <c r="AL11" s="1579"/>
      <c r="AM11" s="1579"/>
    </row>
    <row r="12" spans="2:39" s="1069" customFormat="1" ht="15.65" customHeight="1" x14ac:dyDescent="0.25">
      <c r="B12" s="1095"/>
      <c r="C12" s="1096" t="s">
        <v>498</v>
      </c>
      <c r="D12" s="1096"/>
      <c r="E12" s="753"/>
      <c r="F12" s="1095"/>
      <c r="G12" s="1096"/>
      <c r="H12" s="1098"/>
      <c r="I12" s="1098"/>
      <c r="J12" s="1096"/>
      <c r="K12" s="1096"/>
      <c r="L12" s="1096"/>
      <c r="M12" s="1096"/>
      <c r="N12" s="1096"/>
      <c r="O12" s="1096"/>
      <c r="P12" s="1096"/>
      <c r="Q12" s="1099"/>
      <c r="Y12" s="1623"/>
      <c r="Z12" s="1584"/>
      <c r="AA12" s="1584"/>
      <c r="AB12" s="1584"/>
      <c r="AC12" s="1584"/>
      <c r="AD12" s="1584"/>
      <c r="AE12" s="1584"/>
      <c r="AF12" s="1585"/>
      <c r="AG12" s="1579"/>
      <c r="AH12" s="1579"/>
      <c r="AI12" s="1579"/>
      <c r="AJ12" s="1579"/>
      <c r="AK12" s="1579"/>
      <c r="AL12" s="1579"/>
      <c r="AM12" s="1579"/>
    </row>
    <row r="13" spans="2:39" s="1069" customFormat="1" ht="15.65" customHeight="1" x14ac:dyDescent="0.25">
      <c r="B13" s="1095"/>
      <c r="C13" s="1096" t="s">
        <v>442</v>
      </c>
      <c r="D13" s="1096"/>
      <c r="E13" s="420"/>
      <c r="F13" s="1100"/>
      <c r="G13" s="1096"/>
      <c r="H13" s="1098"/>
      <c r="I13" s="1098"/>
      <c r="J13" s="1101"/>
      <c r="K13" s="1096"/>
      <c r="L13" s="1096"/>
      <c r="M13" s="1096"/>
      <c r="N13" s="1096"/>
      <c r="O13" s="1096"/>
      <c r="P13" s="1096"/>
      <c r="Q13" s="1099"/>
      <c r="Y13" s="1623"/>
      <c r="Z13" s="1583"/>
      <c r="AA13" s="1584"/>
      <c r="AB13" s="1584"/>
      <c r="AC13" s="1584"/>
      <c r="AD13" s="1584"/>
      <c r="AE13" s="1584"/>
      <c r="AF13" s="1585"/>
      <c r="AG13" s="1579"/>
      <c r="AH13" s="1579"/>
      <c r="AI13" s="1579"/>
      <c r="AJ13" s="1579"/>
      <c r="AK13" s="1579"/>
      <c r="AL13" s="1579"/>
      <c r="AM13" s="1579"/>
    </row>
    <row r="14" spans="2:39" s="1069" customFormat="1" ht="15.65" customHeight="1" x14ac:dyDescent="0.25">
      <c r="B14" s="1095"/>
      <c r="C14" s="1096" t="s">
        <v>499</v>
      </c>
      <c r="D14" s="1096"/>
      <c r="E14" s="420"/>
      <c r="F14" s="1100"/>
      <c r="G14" s="1096"/>
      <c r="H14" s="1098"/>
      <c r="I14" s="1098"/>
      <c r="J14" s="1101"/>
      <c r="K14" s="1096"/>
      <c r="L14" s="1096"/>
      <c r="M14" s="1096"/>
      <c r="N14" s="1096"/>
      <c r="O14" s="1096"/>
      <c r="P14" s="1096"/>
      <c r="Q14" s="1099"/>
      <c r="Y14" s="1623"/>
      <c r="Z14" s="1583"/>
      <c r="AA14" s="1584"/>
      <c r="AB14" s="1584"/>
      <c r="AC14" s="1584"/>
      <c r="AD14" s="1584"/>
      <c r="AE14" s="1584"/>
      <c r="AF14" s="1585"/>
      <c r="AG14" s="1579"/>
      <c r="AH14" s="1579"/>
      <c r="AI14" s="1579"/>
      <c r="AJ14" s="1579"/>
      <c r="AK14" s="1579"/>
      <c r="AL14" s="1579"/>
      <c r="AM14" s="1579"/>
    </row>
    <row r="15" spans="2:39" s="1069" customFormat="1" ht="15.65" customHeight="1" x14ac:dyDescent="0.25">
      <c r="B15" s="1095"/>
      <c r="C15" s="1096" t="s">
        <v>500</v>
      </c>
      <c r="D15" s="1096"/>
      <c r="E15" s="346"/>
      <c r="F15" s="1100"/>
      <c r="G15" s="1096"/>
      <c r="H15" s="1098"/>
      <c r="I15" s="1098"/>
      <c r="J15" s="1101"/>
      <c r="K15" s="1096"/>
      <c r="L15" s="1096"/>
      <c r="M15" s="1096"/>
      <c r="N15" s="1096"/>
      <c r="O15" s="1096"/>
      <c r="P15" s="1096"/>
      <c r="Q15" s="1099"/>
      <c r="Y15" s="1623"/>
      <c r="Z15" s="1583"/>
      <c r="AA15" s="1584"/>
      <c r="AB15" s="1584"/>
      <c r="AC15" s="1584"/>
      <c r="AD15" s="1584"/>
      <c r="AE15" s="1584"/>
      <c r="AF15" s="1585"/>
      <c r="AG15" s="1579"/>
      <c r="AH15" s="1579"/>
      <c r="AI15" s="1579"/>
      <c r="AJ15" s="1579"/>
      <c r="AK15" s="1579"/>
      <c r="AL15" s="1579"/>
      <c r="AM15" s="1579"/>
    </row>
    <row r="16" spans="2:39" s="1069" customFormat="1" ht="15.65" customHeight="1" x14ac:dyDescent="0.25">
      <c r="B16" s="1095"/>
      <c r="C16" s="1096" t="s">
        <v>444</v>
      </c>
      <c r="D16" s="1096"/>
      <c r="E16" s="521"/>
      <c r="F16" s="1100"/>
      <c r="G16" s="1096"/>
      <c r="H16" s="1098"/>
      <c r="I16" s="1098"/>
      <c r="J16" s="1101"/>
      <c r="K16" s="1096"/>
      <c r="L16" s="1096"/>
      <c r="M16" s="1096"/>
      <c r="N16" s="1096"/>
      <c r="O16" s="1096"/>
      <c r="P16" s="1096"/>
      <c r="Q16" s="1099"/>
      <c r="Y16" s="1729" t="s">
        <v>181</v>
      </c>
      <c r="Z16" s="1583"/>
      <c r="AA16" s="1584"/>
      <c r="AB16" s="1584"/>
      <c r="AC16" s="1584"/>
      <c r="AD16" s="1584"/>
      <c r="AE16" s="1584"/>
      <c r="AF16" s="1585"/>
      <c r="AG16" s="1579"/>
      <c r="AH16" s="1579"/>
      <c r="AI16" s="1579"/>
      <c r="AJ16" s="1579"/>
      <c r="AK16" s="1579"/>
      <c r="AL16" s="1579"/>
      <c r="AM16" s="1579"/>
    </row>
    <row r="17" spans="2:39" customFormat="1" x14ac:dyDescent="0.25">
      <c r="B17" s="1095"/>
      <c r="C17" s="1096" t="s">
        <v>182</v>
      </c>
      <c r="D17" s="1096"/>
      <c r="E17" s="997"/>
      <c r="F17" s="948"/>
      <c r="G17" s="1096"/>
      <c r="H17" s="1098"/>
      <c r="I17" s="1098"/>
      <c r="J17" s="1104"/>
      <c r="K17" s="1096"/>
      <c r="L17" s="1096"/>
      <c r="M17" s="1096"/>
      <c r="N17" s="1096"/>
      <c r="O17" s="1096"/>
      <c r="P17" s="1096"/>
      <c r="Q17" s="1099"/>
      <c r="Y17" s="1730" t="e">
        <f>reforming_annual_capacity*VLOOKUP(F17,massConv[],2,FALSE)</f>
        <v>#N/A</v>
      </c>
      <c r="Z17" s="1586"/>
      <c r="AA17" s="1586"/>
      <c r="AB17" s="1586"/>
      <c r="AC17" s="1586"/>
      <c r="AD17" s="1586"/>
      <c r="AE17" s="1586"/>
      <c r="AF17" s="1626"/>
      <c r="AG17" s="1586"/>
      <c r="AH17" s="1586"/>
      <c r="AI17" s="1586"/>
      <c r="AJ17" s="1586"/>
      <c r="AK17" s="1586"/>
      <c r="AL17" s="1586"/>
      <c r="AM17" s="1586"/>
    </row>
    <row r="18" spans="2:39" s="1069" customFormat="1" ht="15.65" customHeight="1" x14ac:dyDescent="0.25">
      <c r="B18" s="1105"/>
      <c r="C18" s="1106"/>
      <c r="D18" s="1106"/>
      <c r="E18" s="1106"/>
      <c r="F18" s="1106"/>
      <c r="G18" s="1106"/>
      <c r="H18" s="1106"/>
      <c r="I18" s="1106"/>
      <c r="J18" s="1106"/>
      <c r="K18" s="1106"/>
      <c r="L18" s="1106"/>
      <c r="M18" s="1106"/>
      <c r="N18" s="1106"/>
      <c r="O18" s="1106"/>
      <c r="P18" s="1106"/>
      <c r="Q18" s="1107"/>
      <c r="Y18" s="1623"/>
      <c r="Z18" s="1584"/>
      <c r="AA18" s="1584"/>
      <c r="AB18" s="1584"/>
      <c r="AC18" s="1584"/>
      <c r="AD18" s="1584"/>
      <c r="AE18" s="1584"/>
      <c r="AF18" s="1585"/>
      <c r="AG18" s="1579"/>
      <c r="AH18" s="1579"/>
      <c r="AI18" s="1579"/>
      <c r="AJ18" s="1579"/>
      <c r="AK18" s="1579"/>
      <c r="AL18" s="1579"/>
      <c r="AM18" s="1579"/>
    </row>
    <row r="19" spans="2:39" customFormat="1" ht="12.5" x14ac:dyDescent="0.25">
      <c r="B19" s="1108"/>
      <c r="C19" s="1108"/>
      <c r="D19" s="1108"/>
      <c r="E19" s="1108"/>
      <c r="F19" s="1108"/>
      <c r="G19" s="1108"/>
      <c r="H19" s="1108"/>
      <c r="I19" s="1108"/>
      <c r="J19" s="1108"/>
      <c r="K19" s="1108"/>
      <c r="L19" s="1108"/>
      <c r="M19" s="1108"/>
      <c r="N19" s="1108"/>
      <c r="O19" s="1108"/>
      <c r="P19" s="1108"/>
      <c r="Q19" s="1108"/>
      <c r="Y19" s="1625"/>
      <c r="Z19" s="1586"/>
      <c r="AA19" s="1586"/>
      <c r="AB19" s="1586"/>
      <c r="AC19" s="1586"/>
      <c r="AD19" s="1586"/>
      <c r="AE19" s="1586"/>
      <c r="AF19" s="1626"/>
      <c r="AG19" s="1586"/>
      <c r="AH19" s="1586"/>
      <c r="AI19" s="1586"/>
      <c r="AJ19" s="1586"/>
      <c r="AK19" s="1586"/>
      <c r="AL19" s="1586"/>
      <c r="AM19" s="1586"/>
    </row>
    <row r="20" spans="2:39" customFormat="1" ht="12.5" x14ac:dyDescent="0.25">
      <c r="B20" s="1081"/>
      <c r="C20" s="1082"/>
      <c r="D20" s="1082"/>
      <c r="E20" s="1082"/>
      <c r="F20" s="1082"/>
      <c r="G20" s="1082"/>
      <c r="H20" s="1082"/>
      <c r="I20" s="1082"/>
      <c r="J20" s="1082"/>
      <c r="K20" s="1082"/>
      <c r="L20" s="1082"/>
      <c r="M20" s="1082"/>
      <c r="N20" s="1082"/>
      <c r="O20" s="1082"/>
      <c r="P20" s="1082"/>
      <c r="Q20" s="1083"/>
      <c r="Y20" s="1625"/>
      <c r="Z20" s="1586"/>
      <c r="AA20" s="1586"/>
      <c r="AB20" s="1586"/>
      <c r="AC20" s="1586"/>
      <c r="AD20" s="1586"/>
      <c r="AE20" s="1586"/>
      <c r="AF20" s="1626"/>
      <c r="AG20" s="1586"/>
      <c r="AH20" s="1586"/>
      <c r="AI20" s="1586"/>
      <c r="AJ20" s="1586"/>
      <c r="AK20" s="1586"/>
      <c r="AL20" s="1586"/>
      <c r="AM20" s="1586"/>
    </row>
    <row r="21" spans="2:39" customFormat="1" x14ac:dyDescent="0.25">
      <c r="B21" s="1084"/>
      <c r="C21" s="1109" t="s">
        <v>48</v>
      </c>
      <c r="D21" s="1086"/>
      <c r="E21" s="1110"/>
      <c r="F21" s="1110"/>
      <c r="G21" s="1086"/>
      <c r="H21" s="1086"/>
      <c r="I21" s="1086"/>
      <c r="J21" s="1086"/>
      <c r="K21" s="1086"/>
      <c r="L21" s="1086"/>
      <c r="M21" s="1086"/>
      <c r="N21" s="1086"/>
      <c r="O21" s="1086"/>
      <c r="P21" s="1086"/>
      <c r="Q21" s="1087"/>
      <c r="Y21" s="1625"/>
      <c r="Z21" s="1586"/>
      <c r="AA21" s="1586"/>
      <c r="AB21" s="1586"/>
      <c r="AC21" s="1586"/>
      <c r="AD21" s="1586"/>
      <c r="AE21" s="1586"/>
      <c r="AF21" s="1626"/>
      <c r="AG21" s="1586"/>
      <c r="AH21" s="1586"/>
      <c r="AI21" s="1586"/>
      <c r="AJ21" s="1586"/>
      <c r="AK21" s="1586"/>
      <c r="AL21" s="1586"/>
      <c r="AM21" s="1586"/>
    </row>
    <row r="22" spans="2:39" customFormat="1" x14ac:dyDescent="0.25">
      <c r="B22" s="1089"/>
      <c r="C22" s="1090"/>
      <c r="D22" s="1090"/>
      <c r="E22" s="1091" t="s">
        <v>31</v>
      </c>
      <c r="F22" s="1091" t="s">
        <v>184</v>
      </c>
      <c r="G22" s="1093"/>
      <c r="H22" s="1111"/>
      <c r="I22" s="1111"/>
      <c r="J22" s="1093"/>
      <c r="K22" s="1093"/>
      <c r="L22" s="1093"/>
      <c r="M22" s="1093"/>
      <c r="N22" s="1093"/>
      <c r="O22" s="1091"/>
      <c r="P22" s="1093"/>
      <c r="Q22" s="1112"/>
      <c r="Y22" s="1625"/>
      <c r="Z22" s="1586"/>
      <c r="AA22" s="1586"/>
      <c r="AB22" s="1586"/>
      <c r="AC22" s="1586"/>
      <c r="AD22" s="1586"/>
      <c r="AE22" s="1586"/>
      <c r="AF22" s="1626"/>
      <c r="AG22" s="1586"/>
      <c r="AH22" s="1586"/>
      <c r="AI22" s="1586"/>
      <c r="AJ22" s="1586"/>
      <c r="AK22" s="1586"/>
      <c r="AL22" s="1586"/>
      <c r="AM22" s="1586"/>
    </row>
    <row r="23" spans="2:39" customFormat="1" x14ac:dyDescent="0.25">
      <c r="B23" s="1095"/>
      <c r="C23" s="1096"/>
      <c r="D23" s="1096"/>
      <c r="E23" s="1096"/>
      <c r="F23" s="1096"/>
      <c r="G23" s="1096"/>
      <c r="H23" s="1098"/>
      <c r="I23" s="1098"/>
      <c r="J23" s="1096"/>
      <c r="K23" s="1096"/>
      <c r="L23" s="1096"/>
      <c r="M23" s="1096"/>
      <c r="N23" s="1096"/>
      <c r="O23" s="1096"/>
      <c r="P23" s="1096"/>
      <c r="Q23" s="1099"/>
      <c r="Y23" s="1729" t="s">
        <v>185</v>
      </c>
      <c r="Z23" s="1586"/>
      <c r="AA23" s="1586"/>
      <c r="AB23" s="1586"/>
      <c r="AC23" s="1586"/>
      <c r="AD23" s="1586"/>
      <c r="AE23" s="1586"/>
      <c r="AF23" s="1626"/>
      <c r="AG23" s="1586"/>
      <c r="AH23" s="1586"/>
      <c r="AI23" s="1586"/>
      <c r="AJ23" s="1586"/>
      <c r="AK23" s="1586"/>
      <c r="AL23" s="1586"/>
      <c r="AM23" s="1586"/>
    </row>
    <row r="24" spans="2:39" customFormat="1" x14ac:dyDescent="0.25">
      <c r="B24" s="1095"/>
      <c r="C24" s="1113" t="s">
        <v>186</v>
      </c>
      <c r="D24" s="1096"/>
      <c r="E24" s="481"/>
      <c r="F24" s="531"/>
      <c r="G24" s="1096"/>
      <c r="H24" s="1098"/>
      <c r="I24" s="1098"/>
      <c r="J24" s="1096"/>
      <c r="K24" s="1096"/>
      <c r="L24" s="1096"/>
      <c r="M24" s="1096"/>
      <c r="N24" s="1113"/>
      <c r="O24" s="1113"/>
      <c r="P24" s="1113"/>
      <c r="Q24" s="1099"/>
      <c r="Y24" s="1681" t="e">
        <f>E24*VLOOKUP(F24,massConv[#All],2,FALSE)</f>
        <v>#N/A</v>
      </c>
      <c r="Z24" s="1586"/>
      <c r="AA24" s="1586"/>
      <c r="AB24" s="1586"/>
      <c r="AC24" s="1586"/>
      <c r="AD24" s="1586"/>
      <c r="AE24" s="1586"/>
      <c r="AF24" s="1626"/>
      <c r="AG24" s="1586"/>
      <c r="AH24" s="1586"/>
      <c r="AI24" s="1586"/>
      <c r="AJ24" s="1586"/>
      <c r="AK24" s="1586"/>
      <c r="AL24" s="1586"/>
      <c r="AM24" s="1586"/>
    </row>
    <row r="25" spans="2:39" customFormat="1" x14ac:dyDescent="0.25">
      <c r="B25" s="1095"/>
      <c r="C25" s="1113" t="s">
        <v>187</v>
      </c>
      <c r="D25" s="1096"/>
      <c r="E25" s="483"/>
      <c r="F25" s="1098"/>
      <c r="G25" s="1096"/>
      <c r="H25" s="1098"/>
      <c r="I25" s="1098"/>
      <c r="J25" s="1096"/>
      <c r="K25" s="1096"/>
      <c r="L25" s="1096"/>
      <c r="M25" s="1096"/>
      <c r="N25" s="1113"/>
      <c r="O25" s="1113"/>
      <c r="P25" s="1113"/>
      <c r="Q25" s="1099"/>
      <c r="Y25" s="1625"/>
      <c r="Z25" s="1586"/>
      <c r="AA25" s="1586"/>
      <c r="AB25" s="1586"/>
      <c r="AC25" s="1586"/>
      <c r="AD25" s="1586"/>
      <c r="AE25" s="1586"/>
      <c r="AF25" s="1626"/>
      <c r="AG25" s="1586"/>
      <c r="AH25" s="1586"/>
      <c r="AI25" s="1586"/>
      <c r="AJ25" s="1586"/>
      <c r="AK25" s="1586"/>
      <c r="AL25" s="1586"/>
      <c r="AM25" s="1586"/>
    </row>
    <row r="26" spans="2:39" customFormat="1" x14ac:dyDescent="0.25">
      <c r="B26" s="1095"/>
      <c r="C26" s="1101" t="s">
        <v>188</v>
      </c>
      <c r="D26" s="1096"/>
      <c r="E26" s="1528"/>
      <c r="F26" s="1113"/>
      <c r="G26" s="1096"/>
      <c r="H26" s="1098"/>
      <c r="I26" s="1098"/>
      <c r="J26" s="1096"/>
      <c r="K26" s="1096"/>
      <c r="L26" s="1096"/>
      <c r="M26" s="1096"/>
      <c r="N26" s="1113"/>
      <c r="O26" s="1113"/>
      <c r="P26" s="1113"/>
      <c r="Q26" s="1099"/>
      <c r="Y26" s="1625"/>
      <c r="Z26" s="1586"/>
      <c r="AA26" s="1586"/>
      <c r="AB26" s="1586"/>
      <c r="AC26" s="1586"/>
      <c r="AD26" s="1586"/>
      <c r="AE26" s="1586"/>
      <c r="AF26" s="1626"/>
      <c r="AG26" s="1586"/>
      <c r="AH26" s="1586"/>
      <c r="AI26" s="1586"/>
      <c r="AJ26" s="1586"/>
      <c r="AK26" s="1586"/>
      <c r="AL26" s="1586"/>
      <c r="AM26" s="1586"/>
    </row>
    <row r="27" spans="2:39" customFormat="1" x14ac:dyDescent="0.25">
      <c r="B27" s="1095"/>
      <c r="C27" s="1101" t="s">
        <v>190</v>
      </c>
      <c r="D27" s="1096"/>
      <c r="E27" s="347"/>
      <c r="F27" s="1113"/>
      <c r="G27" s="1096"/>
      <c r="H27" s="1098"/>
      <c r="I27" s="1098"/>
      <c r="J27" s="1096"/>
      <c r="K27" s="1096"/>
      <c r="L27" s="1096"/>
      <c r="M27" s="1096"/>
      <c r="N27" s="1113"/>
      <c r="O27" s="1113"/>
      <c r="P27" s="1113"/>
      <c r="Q27" s="1099"/>
      <c r="Y27" s="1625"/>
      <c r="Z27" s="1586"/>
      <c r="AA27" s="1586"/>
      <c r="AB27" s="1586"/>
      <c r="AC27" s="1586"/>
      <c r="AD27" s="1586"/>
      <c r="AE27" s="1586"/>
      <c r="AF27" s="1626"/>
      <c r="AG27" s="1586"/>
      <c r="AH27" s="1586"/>
      <c r="AI27" s="1586"/>
      <c r="AJ27" s="1586"/>
      <c r="AK27" s="1586"/>
      <c r="AL27" s="1586"/>
      <c r="AM27" s="1586"/>
    </row>
    <row r="28" spans="2:39" customFormat="1" x14ac:dyDescent="0.25">
      <c r="B28" s="1105"/>
      <c r="C28" s="1115"/>
      <c r="D28" s="1106"/>
      <c r="E28" s="1106"/>
      <c r="F28" s="1106"/>
      <c r="G28" s="1106"/>
      <c r="H28" s="1115"/>
      <c r="I28" s="1115"/>
      <c r="J28" s="1106"/>
      <c r="K28" s="1106"/>
      <c r="L28" s="1106"/>
      <c r="M28" s="1106"/>
      <c r="N28" s="1116"/>
      <c r="O28" s="1117"/>
      <c r="P28" s="1117"/>
      <c r="Q28" s="1107"/>
      <c r="Y28" s="1625"/>
      <c r="Z28" s="1586"/>
      <c r="AA28" s="1586"/>
      <c r="AB28" s="1586"/>
      <c r="AC28" s="1586"/>
      <c r="AD28" s="1586"/>
      <c r="AE28" s="1586"/>
      <c r="AF28" s="1626"/>
      <c r="AG28" s="1586"/>
      <c r="AH28" s="1586"/>
      <c r="AI28" s="1586"/>
      <c r="AJ28" s="1586"/>
      <c r="AK28" s="1586"/>
      <c r="AL28" s="1586"/>
      <c r="AM28" s="1586"/>
    </row>
    <row r="29" spans="2:39" s="1069" customFormat="1" ht="15.65" customHeight="1" x14ac:dyDescent="0.25">
      <c r="B29" s="1118"/>
      <c r="C29" s="1118"/>
      <c r="D29" s="1118"/>
      <c r="E29" s="1118"/>
      <c r="F29" s="1118"/>
      <c r="G29" s="1118"/>
      <c r="H29" s="1118"/>
      <c r="I29" s="1118"/>
      <c r="J29" s="1118"/>
      <c r="K29" s="1118"/>
      <c r="L29" s="1118"/>
      <c r="M29" s="1118"/>
      <c r="N29" s="1118"/>
      <c r="O29" s="1118"/>
      <c r="P29" s="1118"/>
      <c r="Q29" s="1118"/>
      <c r="Y29" s="1623"/>
      <c r="Z29" s="1584"/>
      <c r="AA29" s="1584"/>
      <c r="AB29" s="1584"/>
      <c r="AC29" s="1584"/>
      <c r="AD29" s="1584"/>
      <c r="AE29" s="1584"/>
      <c r="AF29" s="1585"/>
      <c r="AG29" s="1579"/>
      <c r="AH29" s="1579"/>
      <c r="AI29" s="1579"/>
      <c r="AJ29" s="1579"/>
      <c r="AK29" s="1579"/>
      <c r="AL29" s="1579"/>
      <c r="AM29" s="1579"/>
    </row>
    <row r="30" spans="2:39" s="1069" customFormat="1" ht="15.65" customHeight="1" x14ac:dyDescent="0.25">
      <c r="B30" s="1081"/>
      <c r="C30" s="1082"/>
      <c r="D30" s="1082"/>
      <c r="E30" s="1082"/>
      <c r="F30" s="1082"/>
      <c r="G30" s="1082"/>
      <c r="H30" s="1082"/>
      <c r="I30" s="1082"/>
      <c r="J30" s="1082"/>
      <c r="K30" s="1082"/>
      <c r="L30" s="1082"/>
      <c r="M30" s="1082"/>
      <c r="N30" s="1082"/>
      <c r="O30" s="1082"/>
      <c r="P30" s="1082"/>
      <c r="Q30" s="1083"/>
      <c r="Y30" s="1623"/>
      <c r="Z30" s="1584"/>
      <c r="AA30" s="1584"/>
      <c r="AB30" s="1584"/>
      <c r="AC30" s="1584"/>
      <c r="AD30" s="1584"/>
      <c r="AE30" s="1584"/>
      <c r="AF30" s="1585"/>
      <c r="AG30" s="1579"/>
      <c r="AH30" s="1579"/>
      <c r="AI30" s="1579"/>
      <c r="AJ30" s="1579"/>
      <c r="AK30" s="1579"/>
      <c r="AL30" s="1579"/>
      <c r="AM30" s="1579"/>
    </row>
    <row r="31" spans="2:39" s="1069" customFormat="1" ht="15.65" customHeight="1" x14ac:dyDescent="0.25">
      <c r="B31" s="1084"/>
      <c r="C31" s="1109" t="s">
        <v>1318</v>
      </c>
      <c r="D31" s="1086"/>
      <c r="E31" s="1086"/>
      <c r="F31" s="1086"/>
      <c r="G31" s="1086"/>
      <c r="H31" s="1086"/>
      <c r="I31" s="1879" t="s">
        <v>1327</v>
      </c>
      <c r="J31" s="1086"/>
      <c r="K31" s="1086"/>
      <c r="L31" s="1086"/>
      <c r="M31" s="1086"/>
      <c r="N31" s="1086"/>
      <c r="O31" s="1086"/>
      <c r="P31" s="1086"/>
      <c r="Q31" s="1087"/>
      <c r="Y31" s="1623"/>
      <c r="Z31" s="1584"/>
      <c r="AA31" s="1584"/>
      <c r="AB31" s="1584"/>
      <c r="AC31" s="1584"/>
      <c r="AD31" s="1584"/>
      <c r="AE31" s="1584"/>
      <c r="AF31" s="1585"/>
      <c r="AG31" s="1579"/>
      <c r="AH31" s="1579"/>
      <c r="AI31" s="1579"/>
      <c r="AJ31" s="1579"/>
      <c r="AK31" s="1579"/>
      <c r="AL31" s="1579"/>
      <c r="AM31" s="1579"/>
    </row>
    <row r="32" spans="2:39" s="1069" customFormat="1" ht="15.65" customHeight="1" x14ac:dyDescent="0.25">
      <c r="B32" s="1089"/>
      <c r="C32" s="1090"/>
      <c r="D32" s="1090"/>
      <c r="E32" s="1091" t="s">
        <v>198</v>
      </c>
      <c r="F32" s="1091" t="s">
        <v>199</v>
      </c>
      <c r="G32" s="1091" t="s">
        <v>200</v>
      </c>
      <c r="H32" s="1091" t="s">
        <v>184</v>
      </c>
      <c r="I32" s="1880"/>
      <c r="J32" s="1120" t="s">
        <v>201</v>
      </c>
      <c r="K32" s="1090"/>
      <c r="L32" s="1090"/>
      <c r="M32" s="1090"/>
      <c r="N32" s="1090"/>
      <c r="O32" s="1091" t="s">
        <v>82</v>
      </c>
      <c r="P32" s="1090"/>
      <c r="Q32" s="1094"/>
      <c r="Y32" s="1725" t="s">
        <v>202</v>
      </c>
      <c r="Z32" s="1582" t="s">
        <v>203</v>
      </c>
      <c r="AA32" s="1582" t="s">
        <v>204</v>
      </c>
      <c r="AB32" s="1582" t="s">
        <v>205</v>
      </c>
      <c r="AC32" s="1582" t="s">
        <v>206</v>
      </c>
      <c r="AD32" s="1582" t="s">
        <v>207</v>
      </c>
      <c r="AE32" s="1731" t="s">
        <v>208</v>
      </c>
      <c r="AF32" s="1585"/>
      <c r="AG32" s="1623"/>
      <c r="AH32" s="1579"/>
      <c r="AI32" s="1579"/>
      <c r="AJ32" s="1579"/>
      <c r="AK32" s="1579"/>
      <c r="AL32" s="1579"/>
      <c r="AM32" s="1579"/>
    </row>
    <row r="33" spans="2:39" s="1069" customFormat="1" ht="15.65" customHeight="1" x14ac:dyDescent="0.25">
      <c r="B33" s="1095"/>
      <c r="C33" s="1096"/>
      <c r="D33" s="1096"/>
      <c r="E33" s="1096"/>
      <c r="F33" s="1096"/>
      <c r="G33" s="1096"/>
      <c r="H33" s="1096"/>
      <c r="I33" s="1124"/>
      <c r="J33" s="1101"/>
      <c r="K33" s="1096"/>
      <c r="L33" s="1096"/>
      <c r="M33" s="1096"/>
      <c r="N33" s="1125"/>
      <c r="O33" s="1126" t="s">
        <v>209</v>
      </c>
      <c r="P33" s="1126"/>
      <c r="Q33" s="1127"/>
      <c r="Y33" s="1725" t="s">
        <v>210</v>
      </c>
      <c r="Z33" s="1582" t="s">
        <v>210</v>
      </c>
      <c r="AA33" s="1582" t="s">
        <v>210</v>
      </c>
      <c r="AB33" s="1582" t="s">
        <v>128</v>
      </c>
      <c r="AC33" s="1732" t="s">
        <v>211</v>
      </c>
      <c r="AD33" s="1582" t="s">
        <v>84</v>
      </c>
      <c r="AE33" s="1731" t="s">
        <v>212</v>
      </c>
      <c r="AF33" s="1585"/>
      <c r="AG33" s="1579"/>
      <c r="AH33" s="1893" t="s">
        <v>189</v>
      </c>
      <c r="AI33" s="1894"/>
      <c r="AJ33" s="1894"/>
      <c r="AK33" s="1894"/>
      <c r="AL33" s="1894"/>
      <c r="AM33" s="1894"/>
    </row>
    <row r="34" spans="2:39" s="1069" customFormat="1" ht="15.65" customHeight="1" x14ac:dyDescent="0.25">
      <c r="B34" s="1095"/>
      <c r="C34" s="1113" t="s">
        <v>423</v>
      </c>
      <c r="D34" s="1096"/>
      <c r="E34" s="1052"/>
      <c r="F34" s="1055"/>
      <c r="G34" s="807"/>
      <c r="H34" s="498"/>
      <c r="I34" s="949"/>
      <c r="J34" s="808"/>
      <c r="K34" s="1129"/>
      <c r="L34" s="1098"/>
      <c r="M34" s="1098"/>
      <c r="N34" s="1130"/>
      <c r="O34" s="1131">
        <f>IF(F34="",0,IFERROR(AA34*AB34+AD34*'Key Values'!$C$149,'Hidden Lists and Summaries'!$C$158))</f>
        <v>0</v>
      </c>
      <c r="P34" s="1132" t="s">
        <v>90</v>
      </c>
      <c r="Q34" s="1099"/>
      <c r="Y34" s="1733" t="e">
        <f>IF(OR(($F34='Key Values'!$B$26),($F34='Key Values'!$B$27),($F34='Key Values'!$B$24)),0,VLOOKUP(iq_location,TapWaterEmbodiedEmissions[#All],2,FALSE))</f>
        <v>#N/A</v>
      </c>
      <c r="Z34" s="1683" t="e">
        <f>VLOOKUP(F34,WaterEmbodiedEmissions[#All],2,FALSE)</f>
        <v>#N/A</v>
      </c>
      <c r="AA34" s="1734" t="e">
        <f>IF(I34&lt;&gt;"",I34/VLOOKUP(H34,Table13[#All], 2, FALSE),Y34+IFERROR(Z34*1,0))</f>
        <v>#N/A</v>
      </c>
      <c r="AB34" s="1684" t="e">
        <f>VLOOKUP(H34,Table13[#All], 2, FALSE)*G34</f>
        <v>#N/A</v>
      </c>
      <c r="AC34" s="1594" cm="1">
        <f t="array" ref="AC34">IF(OR(($F34='Key Values'!$B$26),($F34='Key Values'!$B$27)),PumpedWaterSupplyCosts[Pumping to Site (kWh/m3/km)],0)</f>
        <v>0</v>
      </c>
      <c r="AD34" s="1594" t="e">
        <f>AE34*AC34*J34</f>
        <v>#N/A</v>
      </c>
      <c r="AE34" s="1639" t="e">
        <f>G34*VLOOKUP(H34,Table13[#All],3,FALSE)</f>
        <v>#N/A</v>
      </c>
      <c r="AF34" s="1585"/>
      <c r="AG34" s="1579"/>
      <c r="AH34" s="1893"/>
      <c r="AI34" s="1894"/>
      <c r="AJ34" s="1894"/>
      <c r="AK34" s="1894"/>
      <c r="AL34" s="1894"/>
      <c r="AM34" s="1894"/>
    </row>
    <row r="35" spans="2:39" s="1069" customFormat="1" ht="15.65" customHeight="1" x14ac:dyDescent="0.25">
      <c r="B35" s="1095"/>
      <c r="C35" s="1113" t="s">
        <v>424</v>
      </c>
      <c r="D35" s="1096"/>
      <c r="E35" s="1053"/>
      <c r="F35" s="1056"/>
      <c r="G35" s="809"/>
      <c r="H35" s="799"/>
      <c r="I35" s="951"/>
      <c r="J35" s="808"/>
      <c r="K35" s="1129"/>
      <c r="L35" s="1098"/>
      <c r="M35" s="1098"/>
      <c r="N35" s="1130"/>
      <c r="O35" s="1131">
        <f>IF(F35="",0,IFERROR(AA35*AB35+AD35*'Key Values'!$C$149,'Hidden Lists and Summaries'!$C$158))</f>
        <v>0</v>
      </c>
      <c r="P35" s="1132" t="s">
        <v>90</v>
      </c>
      <c r="Q35" s="1099"/>
      <c r="Y35" s="1735" t="e">
        <f>IF(OR(($F35='Key Values'!$B$26),($F35='Key Values'!$B$27),($F35='Key Values'!$B$24)),0,VLOOKUP(iq_location,TapWaterEmbodiedEmissions[#All],2,FALSE))</f>
        <v>#N/A</v>
      </c>
      <c r="Z35" s="1686" t="e">
        <f>VLOOKUP(F35,WaterEmbodiedEmissions[#All],2,FALSE)</f>
        <v>#N/A</v>
      </c>
      <c r="AA35" s="1734" t="e">
        <f>IF(I35&lt;&gt;"",I35/VLOOKUP(H35,Table13[#All], 2, FALSE),Y35+IFERROR(Z35*1,0))</f>
        <v>#N/A</v>
      </c>
      <c r="AB35" s="1624" t="e">
        <f>VLOOKUP(H35,Table13[#All], 2, FALSE)*G35</f>
        <v>#N/A</v>
      </c>
      <c r="AC35" s="1584" cm="1">
        <f t="array" ref="AC35">IF(OR(($F35='Key Values'!$B$26),($F35='Key Values'!$B$27)),PumpedWaterSupplyCosts[Pumping to Site (kWh/m3/km)],0)</f>
        <v>0</v>
      </c>
      <c r="AD35" s="1584" t="e">
        <f>AE35*AC35*J35</f>
        <v>#N/A</v>
      </c>
      <c r="AE35" s="1585" t="e">
        <f>G35*VLOOKUP(H35,Table13[#All],3,FALSE)</f>
        <v>#N/A</v>
      </c>
      <c r="AF35" s="1585"/>
      <c r="AG35" s="1579"/>
      <c r="AH35" s="1893"/>
      <c r="AI35" s="1894"/>
      <c r="AJ35" s="1894"/>
      <c r="AK35" s="1894"/>
      <c r="AL35" s="1894"/>
      <c r="AM35" s="1894"/>
    </row>
    <row r="36" spans="2:39" s="1069" customFormat="1" ht="15.65" customHeight="1" x14ac:dyDescent="0.25">
      <c r="B36" s="1095"/>
      <c r="C36" s="1113" t="s">
        <v>425</v>
      </c>
      <c r="D36" s="1096"/>
      <c r="E36" s="1054"/>
      <c r="F36" s="1057"/>
      <c r="G36" s="810"/>
      <c r="H36" s="810"/>
      <c r="I36" s="950"/>
      <c r="J36" s="808"/>
      <c r="K36" s="1129"/>
      <c r="L36" s="1098"/>
      <c r="M36" s="1098"/>
      <c r="N36" s="1130"/>
      <c r="O36" s="1139">
        <f>IF(F36="",0,IFERROR(AA36*AB36+AD36*'Key Values'!$C$149,'Hidden Lists and Summaries'!$C$158))</f>
        <v>0</v>
      </c>
      <c r="P36" s="1132" t="s">
        <v>90</v>
      </c>
      <c r="Q36" s="1099"/>
      <c r="Y36" s="1736" t="e">
        <f>IF(OR(($F36='Key Values'!$B$26),($F36='Key Values'!$B$27),($F36='Key Values'!$B$24)),0,VLOOKUP(iq_location,TapWaterEmbodiedEmissions[#All],2,FALSE))</f>
        <v>#N/A</v>
      </c>
      <c r="Z36" s="1687" t="e">
        <f>VLOOKUP(F36,WaterEmbodiedEmissions[#All],2,FALSE)</f>
        <v>#N/A</v>
      </c>
      <c r="AA36" s="1737" t="e">
        <f>IF(I36&lt;&gt;"",I36/VLOOKUP(H36,Table13[#All], 2, FALSE),Y36+IFERROR(Z36*1,0))</f>
        <v>#N/A</v>
      </c>
      <c r="AB36" s="1688" t="e">
        <f>VLOOKUP(H36,Table13[#All], 2, FALSE)*G36</f>
        <v>#N/A</v>
      </c>
      <c r="AC36" s="1610" cm="1">
        <f t="array" ref="AC36">IF(OR(($F36='Key Values'!$B$26),($F36='Key Values'!$B$27)),PumpedWaterSupplyCosts[Pumping to Site (kWh/m3/km)],0)</f>
        <v>0</v>
      </c>
      <c r="AD36" s="1610" t="e">
        <f>AE36*AC36*J36</f>
        <v>#N/A</v>
      </c>
      <c r="AE36" s="1655" t="e">
        <f>G36*VLOOKUP(H36,Table13[#All],3,FALSE)</f>
        <v>#N/A</v>
      </c>
      <c r="AF36" s="1585"/>
      <c r="AG36" s="1579"/>
      <c r="AH36" s="1892" t="s">
        <v>191</v>
      </c>
      <c r="AI36" s="1892" t="s">
        <v>192</v>
      </c>
      <c r="AJ36" s="1892" t="s">
        <v>193</v>
      </c>
      <c r="AK36" s="1892" t="s">
        <v>194</v>
      </c>
      <c r="AL36" s="1892" t="s">
        <v>195</v>
      </c>
      <c r="AM36" s="1892" t="s">
        <v>196</v>
      </c>
    </row>
    <row r="37" spans="2:39" s="1069" customFormat="1" ht="15.65" customHeight="1" x14ac:dyDescent="0.25">
      <c r="B37" s="1105"/>
      <c r="C37" s="1106"/>
      <c r="D37" s="1106"/>
      <c r="E37" s="1106"/>
      <c r="F37" s="1106"/>
      <c r="G37" s="1106"/>
      <c r="H37" s="1115"/>
      <c r="I37" s="1115"/>
      <c r="J37" s="1106"/>
      <c r="K37" s="1106"/>
      <c r="L37" s="1106"/>
      <c r="M37" s="1106"/>
      <c r="N37" s="1144" t="s">
        <v>120</v>
      </c>
      <c r="O37" s="1145">
        <f>SUM(O34:O36)</f>
        <v>0</v>
      </c>
      <c r="P37" s="1146" t="s">
        <v>90</v>
      </c>
      <c r="Q37" s="1107"/>
      <c r="Y37" s="1584"/>
      <c r="Z37" s="1579"/>
      <c r="AA37" s="1579"/>
      <c r="AB37" s="1579"/>
      <c r="AC37" s="1579"/>
      <c r="AD37" s="1579"/>
      <c r="AE37" s="1579"/>
      <c r="AF37" s="1585"/>
      <c r="AG37" s="1579"/>
      <c r="AH37" s="1892"/>
      <c r="AI37" s="1892"/>
      <c r="AJ37" s="1892"/>
      <c r="AK37" s="1892"/>
      <c r="AL37" s="1892"/>
      <c r="AM37" s="1892"/>
    </row>
    <row r="38" spans="2:39" s="1069" customFormat="1" ht="15.65" customHeight="1" x14ac:dyDescent="0.25">
      <c r="Y38" s="1623"/>
      <c r="Z38" s="1584"/>
      <c r="AA38" s="1584"/>
      <c r="AB38" s="1584"/>
      <c r="AC38" s="1584"/>
      <c r="AD38" s="1584"/>
      <c r="AE38" s="1584"/>
      <c r="AF38" s="1585"/>
      <c r="AG38" s="1579"/>
      <c r="AH38" s="1637"/>
      <c r="AI38" s="1594">
        <f>O37</f>
        <v>0</v>
      </c>
      <c r="AJ38" s="1594"/>
      <c r="AK38" s="1594" t="str">
        <f>'Hidden Lists and Summaries'!$B$5</f>
        <v>Embodied (Upstream)</v>
      </c>
      <c r="AL38" s="1594"/>
      <c r="AM38" s="1639" t="s">
        <v>214</v>
      </c>
    </row>
    <row r="39" spans="2:39" s="1069" customFormat="1" ht="15.65" customHeight="1" x14ac:dyDescent="0.25">
      <c r="B39" s="1118"/>
      <c r="C39" s="1118"/>
      <c r="D39" s="1118"/>
      <c r="E39" s="1118"/>
      <c r="F39" s="1118"/>
      <c r="G39" s="1118"/>
      <c r="H39" s="1118"/>
      <c r="I39" s="1118"/>
      <c r="J39" s="1118"/>
      <c r="K39" s="1118"/>
      <c r="L39" s="1118"/>
      <c r="M39" s="1118"/>
      <c r="N39" s="1118"/>
      <c r="O39" s="1118"/>
      <c r="P39" s="1118"/>
      <c r="Q39" s="1118"/>
      <c r="Y39" s="1623"/>
      <c r="Z39" s="1584"/>
      <c r="AA39" s="1584"/>
      <c r="AB39" s="1584"/>
      <c r="AC39" s="1584"/>
      <c r="AD39" s="1584"/>
      <c r="AE39" s="1584"/>
      <c r="AF39" s="1585"/>
      <c r="AG39" s="1579"/>
      <c r="AH39" s="1623"/>
      <c r="AI39" s="1584"/>
      <c r="AJ39" s="1584"/>
      <c r="AK39" s="1584"/>
      <c r="AL39" s="1584"/>
      <c r="AM39" s="1585"/>
    </row>
    <row r="40" spans="2:39" s="1069" customFormat="1" ht="15.65" customHeight="1" x14ac:dyDescent="0.25">
      <c r="B40" s="1081"/>
      <c r="C40" s="1082"/>
      <c r="D40" s="1082"/>
      <c r="E40" s="1082"/>
      <c r="F40" s="169" t="s">
        <v>1334</v>
      </c>
      <c r="G40" s="1082"/>
      <c r="H40" s="1082"/>
      <c r="I40" s="1082"/>
      <c r="J40" s="1082"/>
      <c r="K40" s="1082"/>
      <c r="L40" s="1082"/>
      <c r="M40" s="1082"/>
      <c r="N40" s="1082"/>
      <c r="O40" s="1082"/>
      <c r="P40" s="1082"/>
      <c r="Q40" s="1083"/>
      <c r="Y40" s="1623"/>
      <c r="Z40" s="1584"/>
      <c r="AA40" s="1584"/>
      <c r="AB40" s="1584"/>
      <c r="AC40" s="1584"/>
      <c r="AD40" s="1584"/>
      <c r="AE40" s="1584"/>
      <c r="AF40" s="1585"/>
      <c r="AG40" s="1579"/>
      <c r="AH40" s="1623"/>
      <c r="AI40" s="1584"/>
      <c r="AJ40" s="1584"/>
      <c r="AK40" s="1584"/>
      <c r="AL40" s="1584"/>
      <c r="AM40" s="1585"/>
    </row>
    <row r="41" spans="2:39" s="1069" customFormat="1" ht="15.65" customHeight="1" x14ac:dyDescent="0.25">
      <c r="B41" s="1084"/>
      <c r="C41" s="1109" t="s">
        <v>1317</v>
      </c>
      <c r="D41" s="1151"/>
      <c r="E41" s="1151"/>
      <c r="F41" s="1151"/>
      <c r="G41" s="1151"/>
      <c r="H41" s="1879" t="s">
        <v>1327</v>
      </c>
      <c r="I41" s="1152"/>
      <c r="J41" s="1152"/>
      <c r="K41" s="1151"/>
      <c r="L41" s="1151"/>
      <c r="M41" s="1151"/>
      <c r="N41" s="1151"/>
      <c r="O41" s="1151"/>
      <c r="P41" s="1151"/>
      <c r="Q41" s="1087"/>
      <c r="Y41" s="1623"/>
      <c r="Z41" s="1584"/>
      <c r="AA41" s="1584"/>
      <c r="AB41" s="1584"/>
      <c r="AC41" s="1584"/>
      <c r="AD41" s="1584"/>
      <c r="AE41" s="1584"/>
      <c r="AF41" s="1585"/>
      <c r="AG41" s="1579"/>
      <c r="AH41" s="1623"/>
      <c r="AI41" s="1584"/>
      <c r="AJ41" s="1584"/>
      <c r="AK41" s="1584"/>
      <c r="AL41" s="1584"/>
      <c r="AM41" s="1585"/>
    </row>
    <row r="42" spans="2:39" s="1069" customFormat="1" ht="15.65" customHeight="1" x14ac:dyDescent="0.25">
      <c r="B42" s="1089"/>
      <c r="C42" s="1090"/>
      <c r="D42" s="1090"/>
      <c r="E42" s="1091" t="s">
        <v>218</v>
      </c>
      <c r="F42" s="1091" t="s">
        <v>200</v>
      </c>
      <c r="G42" s="1091" t="s">
        <v>184</v>
      </c>
      <c r="H42" s="1880"/>
      <c r="I42" s="1111" t="s">
        <v>201</v>
      </c>
      <c r="J42" s="1092"/>
      <c r="K42" s="1090"/>
      <c r="L42" s="1090"/>
      <c r="M42" s="1090"/>
      <c r="N42" s="1090"/>
      <c r="O42" s="1091" t="s">
        <v>82</v>
      </c>
      <c r="P42" s="1090"/>
      <c r="Q42" s="1094"/>
      <c r="Y42" s="1738" t="s">
        <v>219</v>
      </c>
      <c r="Z42" s="1627" t="s">
        <v>206</v>
      </c>
      <c r="AA42" s="1582" t="s">
        <v>220</v>
      </c>
      <c r="AB42" s="1582" t="s">
        <v>501</v>
      </c>
      <c r="AC42" s="1582" t="s">
        <v>222</v>
      </c>
      <c r="AD42" s="1584"/>
      <c r="AE42" s="1584"/>
      <c r="AF42" s="1585"/>
      <c r="AG42" s="1579"/>
      <c r="AH42" s="1623"/>
      <c r="AI42" s="1584"/>
      <c r="AJ42" s="1584"/>
      <c r="AK42" s="1584"/>
      <c r="AL42" s="1584"/>
      <c r="AM42" s="1585"/>
    </row>
    <row r="43" spans="2:39" s="1069" customFormat="1" ht="15.65" customHeight="1" x14ac:dyDescent="0.25">
      <c r="B43" s="1095"/>
      <c r="C43" s="1096"/>
      <c r="D43" s="1096"/>
      <c r="E43" s="1096"/>
      <c r="F43" s="1096"/>
      <c r="G43" s="1096"/>
      <c r="H43" s="1098"/>
      <c r="I43" s="1098"/>
      <c r="J43" s="1113"/>
      <c r="K43" s="1113"/>
      <c r="L43" s="1113"/>
      <c r="M43" s="1113"/>
      <c r="N43" s="1125"/>
      <c r="O43" s="1126" t="s">
        <v>209</v>
      </c>
      <c r="P43" s="1155"/>
      <c r="Q43" s="1099"/>
      <c r="Y43" s="1580" t="s">
        <v>223</v>
      </c>
      <c r="Z43" s="1628" t="s">
        <v>211</v>
      </c>
      <c r="AA43" s="1582" t="s">
        <v>84</v>
      </c>
      <c r="AB43" s="1582" t="s">
        <v>212</v>
      </c>
      <c r="AC43" s="1582" t="s">
        <v>1331</v>
      </c>
      <c r="AD43" s="1584"/>
      <c r="AE43" s="1584"/>
      <c r="AF43" s="1585"/>
      <c r="AG43" s="1579"/>
      <c r="AH43" s="1623"/>
      <c r="AI43" s="1584"/>
      <c r="AJ43" s="1584"/>
      <c r="AK43" s="1584"/>
      <c r="AL43" s="1584"/>
      <c r="AM43" s="1585"/>
    </row>
    <row r="44" spans="2:39" s="1069" customFormat="1" ht="15.65" customHeight="1" x14ac:dyDescent="0.25">
      <c r="B44" s="1095"/>
      <c r="C44" s="1113" t="s">
        <v>502</v>
      </c>
      <c r="D44" s="1096"/>
      <c r="E44" s="353"/>
      <c r="F44" s="354"/>
      <c r="G44" s="503"/>
      <c r="H44" s="1317"/>
      <c r="I44" s="999"/>
      <c r="J44" s="1158"/>
      <c r="K44" s="1113"/>
      <c r="L44" s="1113"/>
      <c r="M44" s="1113"/>
      <c r="N44" s="1130"/>
      <c r="O44" s="1131">
        <f>IF(AND(F44="",G44="",I44=""),0,IFERROR(IF(H44&lt;&gt;"",AC44*AB44,AA44*'Key Values'!$C$149),'Hidden Lists and Summaries'!$C$158))</f>
        <v>0</v>
      </c>
      <c r="P44" s="1132" t="s">
        <v>90</v>
      </c>
      <c r="Q44" s="1099"/>
      <c r="Y44" s="1739">
        <f>'Key Values'!$C$31</f>
        <v>9.2999999999999999E-2</v>
      </c>
      <c r="Z44" s="1740">
        <f>'Key Values'!$D$31</f>
        <v>3.6700000000000003E-2</v>
      </c>
      <c r="AA44" s="1741" t="e">
        <f>AB44*Y44+AB44*I44*Z44</f>
        <v>#N/A</v>
      </c>
      <c r="AB44" s="1742" t="e">
        <f>VLOOKUP(G44,Table13[#All], 3, FALSE)*F44</f>
        <v>#N/A</v>
      </c>
      <c r="AC44" s="1584" t="e">
        <f>H44/VLOOKUP(G41,Table13[#All], 3, FALSE)</f>
        <v>#N/A</v>
      </c>
      <c r="AD44" s="1623"/>
      <c r="AE44" s="1584"/>
      <c r="AF44" s="1585"/>
      <c r="AG44" s="1579"/>
      <c r="AH44" s="1623"/>
      <c r="AI44" s="1584"/>
      <c r="AJ44" s="1584"/>
      <c r="AK44" s="1584"/>
      <c r="AL44" s="1584"/>
      <c r="AM44" s="1585"/>
    </row>
    <row r="45" spans="2:39" s="1069" customFormat="1" ht="15.65" customHeight="1" x14ac:dyDescent="0.25">
      <c r="B45" s="1105"/>
      <c r="C45" s="1106"/>
      <c r="D45" s="1106"/>
      <c r="E45" s="1106"/>
      <c r="F45" s="1106"/>
      <c r="G45" s="1106"/>
      <c r="H45" s="1161"/>
      <c r="I45" s="1115"/>
      <c r="J45" s="1161"/>
      <c r="K45" s="1161"/>
      <c r="L45" s="1161"/>
      <c r="M45" s="1161"/>
      <c r="N45" s="1144" t="s">
        <v>120</v>
      </c>
      <c r="O45" s="1145">
        <f>SUM(O44)</f>
        <v>0</v>
      </c>
      <c r="P45" s="1146" t="s">
        <v>90</v>
      </c>
      <c r="Q45" s="1107"/>
      <c r="Y45" s="1623"/>
      <c r="Z45" s="1584"/>
      <c r="AA45" s="1584"/>
      <c r="AB45" s="1584"/>
      <c r="AC45" s="1594"/>
      <c r="AD45" s="1584"/>
      <c r="AE45" s="1584"/>
      <c r="AF45" s="1585"/>
      <c r="AG45" s="1579"/>
      <c r="AH45" s="1623"/>
      <c r="AI45" s="1584">
        <f>O45</f>
        <v>0</v>
      </c>
      <c r="AJ45" s="1584"/>
      <c r="AK45" s="1584" t="str">
        <f>'Hidden Lists and Summaries'!$B$5</f>
        <v>Embodied (Upstream)</v>
      </c>
      <c r="AL45" s="1584"/>
      <c r="AM45" s="1585" t="s">
        <v>214</v>
      </c>
    </row>
    <row r="46" spans="2:39" s="1164" customFormat="1" ht="15.65" customHeight="1" x14ac:dyDescent="0.25">
      <c r="B46" s="1162"/>
      <c r="C46" s="1108"/>
      <c r="D46" s="1108"/>
      <c r="E46" s="1108"/>
      <c r="F46" s="1108"/>
      <c r="G46" s="1108"/>
      <c r="H46" s="1102"/>
      <c r="I46" s="1102"/>
      <c r="J46" s="1108"/>
      <c r="K46" s="1108"/>
      <c r="L46" s="1108"/>
      <c r="M46" s="1108"/>
      <c r="N46" s="1163"/>
      <c r="O46" s="1108"/>
      <c r="P46" s="1108"/>
      <c r="Q46" s="1108"/>
      <c r="R46" s="1102"/>
      <c r="Y46" s="1743"/>
      <c r="Z46" s="1583"/>
      <c r="AA46" s="1583"/>
      <c r="AB46" s="1583"/>
      <c r="AC46" s="1583"/>
      <c r="AD46" s="1583"/>
      <c r="AE46" s="1583"/>
      <c r="AF46" s="1744"/>
      <c r="AG46" s="1745"/>
      <c r="AH46" s="1743"/>
      <c r="AI46" s="1583"/>
      <c r="AJ46" s="1583"/>
      <c r="AK46" s="1583"/>
      <c r="AL46" s="1583"/>
      <c r="AM46" s="1744"/>
    </row>
    <row r="47" spans="2:39" s="1069" customFormat="1" ht="15.65" customHeight="1" x14ac:dyDescent="0.25">
      <c r="B47" s="1081"/>
      <c r="C47" s="1082"/>
      <c r="D47" s="1082"/>
      <c r="E47" s="1082"/>
      <c r="F47" s="1082"/>
      <c r="G47" s="1082"/>
      <c r="H47" s="1082"/>
      <c r="I47" s="1082"/>
      <c r="J47" s="1082"/>
      <c r="K47" s="1082"/>
      <c r="L47" s="1082"/>
      <c r="M47" s="1082"/>
      <c r="N47" s="1082"/>
      <c r="O47" s="1082"/>
      <c r="P47" s="1082"/>
      <c r="Q47" s="1083"/>
      <c r="Y47" s="1623"/>
      <c r="Z47" s="1584"/>
      <c r="AA47" s="1584"/>
      <c r="AB47" s="1584"/>
      <c r="AC47" s="1584"/>
      <c r="AD47" s="1584"/>
      <c r="AE47" s="1584"/>
      <c r="AF47" s="1585"/>
      <c r="AG47" s="1579"/>
      <c r="AH47" s="1623"/>
      <c r="AI47" s="1584"/>
      <c r="AJ47" s="1584"/>
      <c r="AK47" s="1584"/>
      <c r="AL47" s="1584"/>
      <c r="AM47" s="1585"/>
    </row>
    <row r="48" spans="2:39" s="1069" customFormat="1" ht="15" customHeight="1" x14ac:dyDescent="0.25">
      <c r="B48" s="1084"/>
      <c r="C48" s="1109" t="s">
        <v>1315</v>
      </c>
      <c r="D48" s="1086"/>
      <c r="E48" s="1086"/>
      <c r="F48" s="1086"/>
      <c r="G48" s="1086"/>
      <c r="H48" s="1086"/>
      <c r="I48" s="1086"/>
      <c r="J48" s="1086"/>
      <c r="K48" s="1086"/>
      <c r="L48" s="1086"/>
      <c r="M48" s="1086"/>
      <c r="N48" s="1086"/>
      <c r="O48" s="1086"/>
      <c r="P48" s="1086"/>
      <c r="Q48" s="1087"/>
      <c r="Y48" s="1623"/>
      <c r="Z48" s="1584"/>
      <c r="AA48" s="1584"/>
      <c r="AB48" s="1584"/>
      <c r="AC48" s="1584"/>
      <c r="AD48" s="1584"/>
      <c r="AE48" s="1584"/>
      <c r="AF48" s="1585"/>
      <c r="AG48" s="1579"/>
      <c r="AH48" s="1623"/>
      <c r="AI48" s="1584"/>
      <c r="AJ48" s="1584"/>
      <c r="AK48" s="1584"/>
      <c r="AL48" s="1584"/>
      <c r="AM48" s="1585"/>
    </row>
    <row r="49" spans="1:39" s="1069" customFormat="1" ht="15.65" customHeight="1" x14ac:dyDescent="0.25">
      <c r="B49" s="1089"/>
      <c r="C49" s="1090"/>
      <c r="D49" s="1090"/>
      <c r="E49" s="1091" t="s">
        <v>80</v>
      </c>
      <c r="F49" s="1091" t="s">
        <v>81</v>
      </c>
      <c r="G49" s="1092"/>
      <c r="H49" s="1092"/>
      <c r="I49" s="1092"/>
      <c r="J49" s="1093"/>
      <c r="K49" s="1090"/>
      <c r="L49" s="1090"/>
      <c r="M49" s="1090"/>
      <c r="N49" s="1090"/>
      <c r="O49" s="1091" t="s">
        <v>82</v>
      </c>
      <c r="P49" s="1090"/>
      <c r="Q49" s="1094"/>
      <c r="Y49" s="1738" t="s">
        <v>228</v>
      </c>
      <c r="Z49" s="1738" t="s">
        <v>229</v>
      </c>
      <c r="AA49" s="1627" t="s">
        <v>230</v>
      </c>
      <c r="AB49" s="1627" t="s">
        <v>231</v>
      </c>
      <c r="AC49" s="1584"/>
      <c r="AD49" s="1627" t="s">
        <v>232</v>
      </c>
      <c r="AE49" s="1629" t="s">
        <v>233</v>
      </c>
      <c r="AF49" s="1630" t="s">
        <v>234</v>
      </c>
      <c r="AG49" s="1579"/>
      <c r="AH49" s="1623"/>
      <c r="AI49" s="1584"/>
      <c r="AJ49" s="1584"/>
      <c r="AK49" s="1584"/>
      <c r="AL49" s="1584"/>
      <c r="AM49" s="1585"/>
    </row>
    <row r="50" spans="1:39" s="1069" customFormat="1" ht="15.65" customHeight="1" x14ac:dyDescent="0.25">
      <c r="B50" s="1170"/>
      <c r="C50" s="1171"/>
      <c r="D50" s="1171"/>
      <c r="E50" s="1172"/>
      <c r="F50" s="1172"/>
      <c r="G50" s="1173"/>
      <c r="H50" s="1173"/>
      <c r="I50" s="1173"/>
      <c r="J50" s="1174"/>
      <c r="K50" s="1171"/>
      <c r="L50" s="1171"/>
      <c r="M50" s="1171"/>
      <c r="N50" s="1171"/>
      <c r="O50" s="1172"/>
      <c r="P50" s="1171"/>
      <c r="Q50" s="1175"/>
      <c r="Y50" s="1580"/>
      <c r="Z50" s="1580" t="s">
        <v>84</v>
      </c>
      <c r="AA50" s="1627" t="s">
        <v>84</v>
      </c>
      <c r="AB50" s="1628"/>
      <c r="AC50" s="1584"/>
      <c r="AD50" s="1628"/>
      <c r="AE50" s="1629"/>
      <c r="AF50" s="1630"/>
      <c r="AG50" s="1579"/>
      <c r="AH50" s="1623"/>
      <c r="AI50" s="1584"/>
      <c r="AJ50" s="1584"/>
      <c r="AK50" s="1584"/>
      <c r="AL50" s="1584"/>
      <c r="AM50" s="1585"/>
    </row>
    <row r="51" spans="1:39" s="1069" customFormat="1" ht="15.65" customHeight="1" x14ac:dyDescent="0.25">
      <c r="B51" s="1095"/>
      <c r="C51" s="815" t="s">
        <v>1313</v>
      </c>
      <c r="D51" s="1096"/>
      <c r="E51" s="552"/>
      <c r="F51" s="1177" t="s">
        <v>86</v>
      </c>
      <c r="G51" s="1532"/>
      <c r="H51" s="1098"/>
      <c r="I51" s="1098"/>
      <c r="J51" s="1096"/>
      <c r="K51" s="1096"/>
      <c r="L51" s="1096"/>
      <c r="M51" s="1096"/>
      <c r="N51" s="1096"/>
      <c r="O51" s="1096"/>
      <c r="P51" s="1096"/>
      <c r="Q51" s="1099"/>
      <c r="Y51" s="1178" t="s">
        <v>120</v>
      </c>
      <c r="Z51" s="1635">
        <f>E51*VLOOKUP(F51,EnergyConversionTable[],3)</f>
        <v>0</v>
      </c>
      <c r="AA51" s="1635"/>
      <c r="AB51" s="1636"/>
      <c r="AC51" s="1584"/>
      <c r="AD51" s="1637" t="s">
        <v>236</v>
      </c>
      <c r="AE51" s="1638" t="str">
        <f>overall_locationBasedImportEmissions</f>
        <v>Error -  Review inputs</v>
      </c>
      <c r="AF51" s="1639">
        <f>AB54</f>
        <v>0</v>
      </c>
      <c r="AG51" s="1579"/>
      <c r="AH51" s="1623"/>
      <c r="AI51" s="1584"/>
      <c r="AJ51" s="1584"/>
      <c r="AK51" s="1584"/>
      <c r="AL51" s="1584"/>
      <c r="AM51" s="1585"/>
    </row>
    <row r="52" spans="1:39" s="1069" customFormat="1" x14ac:dyDescent="0.25">
      <c r="B52" s="1095"/>
      <c r="C52" s="806" t="s">
        <v>237</v>
      </c>
      <c r="D52" s="1096"/>
      <c r="E52" s="548"/>
      <c r="F52" s="1181" t="s">
        <v>86</v>
      </c>
      <c r="G52" s="1532" t="str">
        <f>IF('Electricity Usage'!$H$71&gt;1,'Hidden Lists and Summaries'!$D$160,"")</f>
        <v/>
      </c>
      <c r="H52" s="1098"/>
      <c r="I52" s="1098"/>
      <c r="J52" s="1096"/>
      <c r="K52" s="1096"/>
      <c r="L52" s="1096"/>
      <c r="M52" s="1096"/>
      <c r="N52" s="103" t="s">
        <v>236</v>
      </c>
      <c r="O52" s="1183" t="str">
        <f>IFERROR(AE51*AF51,'Hidden Lists and Summaries'!$C$158)</f>
        <v>Error -  Review inputs</v>
      </c>
      <c r="P52" s="1184" t="s">
        <v>90</v>
      </c>
      <c r="Q52" s="1099"/>
      <c r="Y52" s="1185" t="s">
        <v>238</v>
      </c>
      <c r="Z52" s="1646">
        <f>E52*VLOOKUP(F52,EnergyConversionTable[],3)</f>
        <v>0</v>
      </c>
      <c r="AA52" s="1646"/>
      <c r="AB52" s="1647"/>
      <c r="AC52" s="1584"/>
      <c r="AD52" s="1623" t="s">
        <v>239</v>
      </c>
      <c r="AE52" s="1648">
        <f>overall_ImportEmissions</f>
        <v>0</v>
      </c>
      <c r="AF52" s="1585">
        <f>AB54</f>
        <v>0</v>
      </c>
      <c r="AG52" s="1579"/>
      <c r="AH52" s="1623"/>
      <c r="AI52" s="1583">
        <f>O53</f>
        <v>0</v>
      </c>
      <c r="AJ52" s="1583"/>
      <c r="AK52" s="1583" t="s">
        <v>240</v>
      </c>
      <c r="AL52" s="1584"/>
      <c r="AM52" s="1585"/>
    </row>
    <row r="53" spans="1:39" s="1069" customFormat="1" ht="15.65" customHeight="1" x14ac:dyDescent="0.25">
      <c r="B53" s="1095"/>
      <c r="C53" s="806"/>
      <c r="D53" s="1187"/>
      <c r="E53" s="1173"/>
      <c r="F53" s="1173"/>
      <c r="G53" s="1532"/>
      <c r="H53" s="1098"/>
      <c r="I53" s="1098"/>
      <c r="J53" s="1098"/>
      <c r="K53" s="1098"/>
      <c r="L53" s="1096"/>
      <c r="M53" s="1096"/>
      <c r="N53" s="106" t="s">
        <v>239</v>
      </c>
      <c r="O53" s="1131">
        <f>IFERROR(AE52*AF52,'Hidden Lists and Summaries'!$C$158)</f>
        <v>0</v>
      </c>
      <c r="P53" s="1132" t="s">
        <v>90</v>
      </c>
      <c r="Q53" s="1099"/>
      <c r="Y53" s="1185"/>
      <c r="Z53" s="1646">
        <f>E52*VLOOKUP(F52,EnergyConversionTable[],3)</f>
        <v>0</v>
      </c>
      <c r="AA53" s="1646">
        <f>overall_onsiteElecGenRenewables+overall_verifiedRenewableElectricityImported</f>
        <v>0</v>
      </c>
      <c r="AB53" s="1647">
        <f>IF(AA53=0,0,Z53/AA53)</f>
        <v>0</v>
      </c>
      <c r="AC53" s="1584"/>
      <c r="AD53" s="1623" t="s">
        <v>242</v>
      </c>
      <c r="AE53" s="1648">
        <f>total_embodiedEmissionsCombustionBasedElectricity</f>
        <v>0</v>
      </c>
      <c r="AF53" s="1585">
        <f>AB55</f>
        <v>0</v>
      </c>
      <c r="AG53" s="1579"/>
      <c r="AH53" s="1623"/>
      <c r="AI53" s="1583">
        <f>O54</f>
        <v>0</v>
      </c>
      <c r="AJ53" s="1583"/>
      <c r="AK53" s="1584" t="str">
        <f>'Hidden Lists and Summaries'!$B$5</f>
        <v>Embodied (Upstream)</v>
      </c>
      <c r="AL53" s="1584"/>
      <c r="AM53" s="1585" t="s">
        <v>243</v>
      </c>
    </row>
    <row r="54" spans="1:39" s="1069" customFormat="1" ht="15.65" customHeight="1" x14ac:dyDescent="0.25">
      <c r="B54" s="1095"/>
      <c r="C54" s="805" t="s">
        <v>244</v>
      </c>
      <c r="D54" s="1188"/>
      <c r="E54" s="552"/>
      <c r="F54" s="1177" t="s">
        <v>86</v>
      </c>
      <c r="G54" s="1532" t="str">
        <f>IF('Electricity Usage'!$E$71&gt;1,'Hidden Lists and Summaries'!$D$157,"")</f>
        <v/>
      </c>
      <c r="H54" s="1098"/>
      <c r="I54" s="1098"/>
      <c r="J54" s="1096"/>
      <c r="K54" s="1096"/>
      <c r="L54" s="1096"/>
      <c r="M54" s="1096"/>
      <c r="N54" s="106" t="s">
        <v>245</v>
      </c>
      <c r="O54" s="1131">
        <f>IFERROR(AE53*AF53,'Hidden Lists and Summaries'!$C$158)</f>
        <v>0</v>
      </c>
      <c r="P54" s="1132" t="s">
        <v>90</v>
      </c>
      <c r="Q54" s="1099"/>
      <c r="Y54" s="1185" t="s">
        <v>246</v>
      </c>
      <c r="Z54" s="1646">
        <f>E54*VLOOKUP(F54,EnergyConversionTable[],3)</f>
        <v>0</v>
      </c>
      <c r="AA54" s="1646">
        <f>overall_totalImportedElectricity</f>
        <v>0</v>
      </c>
      <c r="AB54" s="1647">
        <f>IF(AA54=0,0,Z54/AA54)</f>
        <v>0</v>
      </c>
      <c r="AC54" s="1584"/>
      <c r="AD54" s="1623" t="s">
        <v>247</v>
      </c>
      <c r="AE54" s="1648">
        <f>total_emissionsCombustionBasedElectricity</f>
        <v>0</v>
      </c>
      <c r="AF54" s="1585">
        <f>AB55</f>
        <v>0</v>
      </c>
      <c r="AG54" s="1579"/>
      <c r="AH54" s="1623"/>
      <c r="AI54" s="1583">
        <f>O55</f>
        <v>0</v>
      </c>
      <c r="AJ54" s="1583"/>
      <c r="AK54" s="1583" t="s">
        <v>248</v>
      </c>
      <c r="AL54" s="1584"/>
      <c r="AM54" s="1585"/>
    </row>
    <row r="55" spans="1:39" s="1069" customFormat="1" ht="15" customHeight="1" x14ac:dyDescent="0.25">
      <c r="B55" s="1095"/>
      <c r="C55" s="1888" t="s">
        <v>1325</v>
      </c>
      <c r="D55" s="1096"/>
      <c r="E55" s="548"/>
      <c r="F55" s="1181" t="s">
        <v>86</v>
      </c>
      <c r="G55" s="1532" t="str">
        <f>IF('Electricity Usage'!$F$71&gt;1,'Hidden Lists and Summaries'!$D$158,"")</f>
        <v/>
      </c>
      <c r="H55" s="1098"/>
      <c r="I55" s="1098"/>
      <c r="J55" s="1096"/>
      <c r="K55" s="1096"/>
      <c r="L55" s="1096"/>
      <c r="M55" s="1096"/>
      <c r="N55" s="106" t="s">
        <v>250</v>
      </c>
      <c r="O55" s="1131">
        <f>IFERROR(AE54*AF54,'Hidden Lists and Summaries'!$C$158)</f>
        <v>0</v>
      </c>
      <c r="P55" s="1132" t="s">
        <v>90</v>
      </c>
      <c r="Q55" s="1099"/>
      <c r="Y55" s="1190" t="s">
        <v>251</v>
      </c>
      <c r="Z55" s="1656">
        <f>E55*VLOOKUP(F55,EnergyConversionTable[],3)</f>
        <v>0</v>
      </c>
      <c r="AA55" s="1656">
        <f>overall_totalOnsiteCombustionElecGen</f>
        <v>0</v>
      </c>
      <c r="AB55" s="1657">
        <f>IF(AA55=0,0,Z55/AA55)</f>
        <v>0</v>
      </c>
      <c r="AC55" s="1584"/>
      <c r="AD55" s="1594"/>
      <c r="AE55" s="1638"/>
      <c r="AF55" s="1639"/>
      <c r="AG55" s="1584"/>
      <c r="AH55" s="1623"/>
      <c r="AI55" s="1583"/>
      <c r="AJ55" s="1583"/>
      <c r="AK55" s="1583"/>
      <c r="AL55" s="1584"/>
      <c r="AM55" s="1585"/>
    </row>
    <row r="56" spans="1:39" s="1069" customFormat="1" ht="15.65" customHeight="1" x14ac:dyDescent="0.25">
      <c r="B56" s="1105"/>
      <c r="C56" s="1889"/>
      <c r="D56" s="1106"/>
      <c r="E56" s="1106"/>
      <c r="F56" s="1106"/>
      <c r="G56" s="1106"/>
      <c r="H56" s="1115"/>
      <c r="I56" s="1115"/>
      <c r="J56" s="1106"/>
      <c r="K56" s="1106"/>
      <c r="L56" s="1106"/>
      <c r="M56" s="1106"/>
      <c r="N56" s="1144" t="s">
        <v>120</v>
      </c>
      <c r="O56" s="1145">
        <f>SUM(O52:O55)</f>
        <v>0</v>
      </c>
      <c r="P56" s="1146" t="s">
        <v>90</v>
      </c>
      <c r="Q56" s="1107"/>
      <c r="Y56" s="1623"/>
      <c r="Z56" s="1584"/>
      <c r="AA56" s="1584"/>
      <c r="AB56" s="1584"/>
      <c r="AC56" s="1584"/>
      <c r="AD56" s="1584"/>
      <c r="AE56" s="1584"/>
      <c r="AF56" s="1585"/>
      <c r="AG56" s="1579"/>
      <c r="AH56" s="1623"/>
      <c r="AI56" s="1584"/>
      <c r="AJ56" s="1584"/>
      <c r="AK56" s="1584"/>
      <c r="AL56" s="1584"/>
      <c r="AM56" s="1585"/>
    </row>
    <row r="57" spans="1:39" s="1069" customFormat="1" ht="15.65" customHeight="1" x14ac:dyDescent="0.25">
      <c r="A57" s="1164"/>
      <c r="B57" s="1108"/>
      <c r="C57" s="1108"/>
      <c r="D57" s="1108"/>
      <c r="E57" s="1108"/>
      <c r="F57" s="1108"/>
      <c r="G57" s="1108"/>
      <c r="H57" s="1102"/>
      <c r="I57" s="1102"/>
      <c r="J57" s="1108"/>
      <c r="K57" s="1108"/>
      <c r="L57" s="1108"/>
      <c r="M57" s="1108"/>
      <c r="N57" s="1164"/>
      <c r="O57" s="1164"/>
      <c r="P57" s="1102"/>
      <c r="Q57" s="1108"/>
      <c r="Y57" s="1623"/>
      <c r="Z57" s="1584"/>
      <c r="AA57" s="1584"/>
      <c r="AB57" s="1584"/>
      <c r="AC57" s="1584"/>
      <c r="AD57" s="1584"/>
      <c r="AE57" s="1584"/>
      <c r="AF57" s="1585"/>
      <c r="AG57" s="1579"/>
      <c r="AH57" s="1623"/>
      <c r="AI57" s="1584"/>
      <c r="AJ57" s="1584"/>
      <c r="AK57" s="1584"/>
      <c r="AL57" s="1584"/>
      <c r="AM57" s="1585"/>
    </row>
    <row r="58" spans="1:39" s="1069" customFormat="1" ht="15.65" customHeight="1" x14ac:dyDescent="0.25">
      <c r="A58" s="1164"/>
      <c r="B58" s="1081"/>
      <c r="C58" s="1082"/>
      <c r="D58" s="1082"/>
      <c r="E58" s="1082"/>
      <c r="F58" s="1082"/>
      <c r="G58" s="1082"/>
      <c r="H58" s="1082"/>
      <c r="I58" s="1082"/>
      <c r="J58" s="1082"/>
      <c r="K58" s="1082"/>
      <c r="L58" s="1082"/>
      <c r="M58" s="1082"/>
      <c r="N58" s="1082"/>
      <c r="O58" s="1082"/>
      <c r="P58" s="1082"/>
      <c r="Q58" s="1083"/>
      <c r="Y58" s="1623"/>
      <c r="Z58" s="1584"/>
      <c r="AA58" s="1584"/>
      <c r="AB58" s="1584"/>
      <c r="AC58" s="1584"/>
      <c r="AD58" s="1584"/>
      <c r="AE58" s="1584"/>
      <c r="AF58" s="1585"/>
      <c r="AG58" s="1579"/>
      <c r="AH58" s="1623"/>
      <c r="AI58" s="1584"/>
      <c r="AJ58" s="1584"/>
      <c r="AK58" s="1584"/>
      <c r="AL58" s="1584"/>
      <c r="AM58" s="1585"/>
    </row>
    <row r="59" spans="1:39" s="1069" customFormat="1" ht="15.65" customHeight="1" x14ac:dyDescent="0.25">
      <c r="A59" s="1164"/>
      <c r="B59" s="1084"/>
      <c r="C59" s="125" t="s">
        <v>1316</v>
      </c>
      <c r="D59" s="1086"/>
      <c r="E59" s="1086"/>
      <c r="F59" s="1086"/>
      <c r="G59" s="1086"/>
      <c r="H59" s="1086"/>
      <c r="I59" s="1086"/>
      <c r="J59" s="1086"/>
      <c r="K59" s="1086"/>
      <c r="L59" s="1086"/>
      <c r="M59" s="1086"/>
      <c r="N59" s="1086"/>
      <c r="O59" s="1086"/>
      <c r="P59" s="1086"/>
      <c r="Q59" s="1087"/>
      <c r="Y59" s="1746"/>
      <c r="Z59" s="1584"/>
      <c r="AA59" s="1584"/>
      <c r="AB59" s="1584"/>
      <c r="AC59" s="1584"/>
      <c r="AD59" s="1584"/>
      <c r="AE59" s="1584"/>
      <c r="AF59" s="1585"/>
      <c r="AG59" s="1579"/>
      <c r="AH59" s="1623"/>
      <c r="AI59" s="1584"/>
      <c r="AJ59" s="1584"/>
      <c r="AK59" s="1584"/>
      <c r="AL59" s="1584"/>
      <c r="AM59" s="1585"/>
    </row>
    <row r="60" spans="1:39" s="1069" customFormat="1" ht="15.65" customHeight="1" x14ac:dyDescent="0.25">
      <c r="A60" s="1164"/>
      <c r="B60" s="1089"/>
      <c r="C60" s="1090"/>
      <c r="D60" s="1090"/>
      <c r="E60" s="1091" t="s">
        <v>253</v>
      </c>
      <c r="F60" s="1091" t="s">
        <v>81</v>
      </c>
      <c r="G60" s="1092"/>
      <c r="H60" s="1092"/>
      <c r="I60" s="1092"/>
      <c r="J60" s="1093"/>
      <c r="K60" s="1090"/>
      <c r="L60" s="1090"/>
      <c r="M60" s="1090"/>
      <c r="N60" s="1090"/>
      <c r="O60" s="1091" t="s">
        <v>82</v>
      </c>
      <c r="P60" s="1090"/>
      <c r="Q60" s="1094"/>
      <c r="Y60" s="1738" t="s">
        <v>254</v>
      </c>
      <c r="Z60" s="1738" t="s">
        <v>503</v>
      </c>
      <c r="AA60" s="1582" t="s">
        <v>256</v>
      </c>
      <c r="AB60" s="1584"/>
      <c r="AC60" s="1584"/>
      <c r="AD60" s="1584"/>
      <c r="AE60" s="1584"/>
      <c r="AF60" s="1585"/>
      <c r="AG60" s="1579"/>
      <c r="AH60" s="1623"/>
      <c r="AI60" s="1584"/>
      <c r="AJ60" s="1584"/>
      <c r="AK60" s="1584"/>
      <c r="AL60" s="1584"/>
      <c r="AM60" s="1585"/>
    </row>
    <row r="61" spans="1:39" s="1069" customFormat="1" ht="15.65" customHeight="1" x14ac:dyDescent="0.25">
      <c r="B61" s="1192"/>
      <c r="C61" s="1193"/>
      <c r="D61" s="1193"/>
      <c r="E61" s="1193"/>
      <c r="F61" s="1193"/>
      <c r="G61" s="1193"/>
      <c r="H61" s="1124"/>
      <c r="I61" s="1124"/>
      <c r="J61" s="1193"/>
      <c r="K61" s="1193"/>
      <c r="L61" s="1193"/>
      <c r="M61" s="1193"/>
      <c r="N61" s="1194"/>
      <c r="O61" s="1194"/>
      <c r="P61" s="1194"/>
      <c r="Q61" s="1195"/>
      <c r="Y61" s="1580" t="s">
        <v>128</v>
      </c>
      <c r="Z61" s="1580"/>
      <c r="AA61" s="1582" t="s">
        <v>116</v>
      </c>
      <c r="AB61" s="1584"/>
      <c r="AC61" s="1584"/>
      <c r="AD61" s="1584"/>
      <c r="AE61" s="1584"/>
      <c r="AF61" s="1585"/>
      <c r="AG61" s="1579"/>
      <c r="AH61" s="1623"/>
      <c r="AI61" s="1584"/>
      <c r="AJ61" s="1584"/>
      <c r="AK61" s="1584"/>
      <c r="AL61" s="1584"/>
      <c r="AM61" s="1585"/>
    </row>
    <row r="62" spans="1:39" s="1069" customFormat="1" ht="15.65" customHeight="1" x14ac:dyDescent="0.25">
      <c r="B62" s="1095"/>
      <c r="C62" s="815" t="s">
        <v>1330</v>
      </c>
      <c r="D62" s="1187"/>
      <c r="E62" s="549"/>
      <c r="F62" s="1067"/>
      <c r="G62" s="1532" t="str">
        <f>IF(IFERROR(OR('Electricity Usage'!$G$71&gt;1,E62*VLOOKUP(F62,massConv[],3,FALSE)&gt;overall_CHPSteamGenerated),FALSE),'Hidden Lists and Summaries'!$D$159,"")</f>
        <v/>
      </c>
      <c r="H62" s="1129"/>
      <c r="I62" s="1129"/>
      <c r="J62" s="1101"/>
      <c r="K62" s="1101"/>
      <c r="L62" s="1101"/>
      <c r="M62" s="1101"/>
      <c r="N62" s="1182" t="s">
        <v>209</v>
      </c>
      <c r="O62" s="1183" t="str">
        <f>IFERROR(Z62*AA62,'Hidden Lists and Summaries'!$C$158)</f>
        <v>Error -  Review inputs</v>
      </c>
      <c r="P62" s="1184" t="s">
        <v>90</v>
      </c>
      <c r="Q62" s="1099"/>
      <c r="Y62" s="1637">
        <f>IFERROR(E62*VLOOKUP(F62,massConv[],3,FALSE),0)</f>
        <v>0</v>
      </c>
      <c r="Z62" s="1594" t="e">
        <f>IF(overall_CHPSteamGenerated=0,0,Y62/overall_CHPSteamGenerated)</f>
        <v>#N/A</v>
      </c>
      <c r="AA62" s="1639">
        <f>overall_embodiedCHPSteam</f>
        <v>0</v>
      </c>
      <c r="AB62" s="1196" t="s">
        <v>257</v>
      </c>
      <c r="AC62" s="1584"/>
      <c r="AD62" s="1586"/>
      <c r="AE62" s="1584"/>
      <c r="AF62" s="1585"/>
      <c r="AG62" s="1579"/>
      <c r="AH62" s="1623"/>
      <c r="AI62" s="1584" t="str">
        <f>O62</f>
        <v>Error -  Review inputs</v>
      </c>
      <c r="AJ62" s="1584"/>
      <c r="AK62" s="1584" t="str">
        <f>'Hidden Lists and Summaries'!$B$5</f>
        <v>Embodied (Upstream)</v>
      </c>
      <c r="AL62" s="1584"/>
      <c r="AM62" s="1585" t="s">
        <v>243</v>
      </c>
    </row>
    <row r="63" spans="1:39" s="1069" customFormat="1" ht="15.65" customHeight="1" x14ac:dyDescent="0.25">
      <c r="B63" s="1095"/>
      <c r="C63" s="1101"/>
      <c r="D63" s="1101"/>
      <c r="E63" s="1101"/>
      <c r="F63" s="1101"/>
      <c r="G63" s="1101"/>
      <c r="H63" s="1129"/>
      <c r="I63" s="1129"/>
      <c r="J63" s="1101"/>
      <c r="K63" s="1101"/>
      <c r="L63" s="1101"/>
      <c r="M63" s="1101"/>
      <c r="N63" s="1130" t="s">
        <v>258</v>
      </c>
      <c r="O63" s="1131" t="str">
        <f>IFERROR(Z62*AA63,'Hidden Lists and Summaries'!$C$158)</f>
        <v>Error -  Review inputs</v>
      </c>
      <c r="P63" s="1132" t="s">
        <v>90</v>
      </c>
      <c r="Q63" s="1099"/>
      <c r="Y63" s="1653"/>
      <c r="Z63" s="1610"/>
      <c r="AA63" s="1655">
        <f>overall_CHP_EmissionsSteam</f>
        <v>0</v>
      </c>
      <c r="AB63" s="1196" t="s">
        <v>259</v>
      </c>
      <c r="AC63" s="1584"/>
      <c r="AD63" s="1586"/>
      <c r="AE63" s="1584"/>
      <c r="AF63" s="1585"/>
      <c r="AG63" s="1579"/>
      <c r="AH63" s="1623"/>
      <c r="AI63" s="1584" t="str">
        <f>O63</f>
        <v>Error -  Review inputs</v>
      </c>
      <c r="AJ63" s="1584"/>
      <c r="AK63" s="1583" t="s">
        <v>248</v>
      </c>
      <c r="AL63" s="1584"/>
      <c r="AM63" s="1585"/>
    </row>
    <row r="64" spans="1:39" s="1069" customFormat="1" ht="15.65" customHeight="1" x14ac:dyDescent="0.25">
      <c r="B64" s="1105"/>
      <c r="C64" s="1106"/>
      <c r="D64" s="1106"/>
      <c r="E64" s="1106"/>
      <c r="F64" s="1106"/>
      <c r="G64" s="1106"/>
      <c r="H64" s="1115"/>
      <c r="I64" s="1115"/>
      <c r="J64" s="1106"/>
      <c r="K64" s="1106"/>
      <c r="L64" s="1106"/>
      <c r="M64" s="1106"/>
      <c r="N64" s="1144" t="s">
        <v>120</v>
      </c>
      <c r="O64" s="1145">
        <f>SUM(O62:O63)</f>
        <v>0</v>
      </c>
      <c r="P64" s="1146" t="s">
        <v>90</v>
      </c>
      <c r="Q64" s="1107"/>
      <c r="Y64" s="1623"/>
      <c r="Z64" s="1584"/>
      <c r="AA64" s="1584"/>
      <c r="AB64" s="1584"/>
      <c r="AC64" s="1584"/>
      <c r="AD64" s="1584"/>
      <c r="AE64" s="1584"/>
      <c r="AF64" s="1585"/>
      <c r="AG64" s="1579"/>
      <c r="AH64" s="1623"/>
      <c r="AI64" s="1584"/>
      <c r="AJ64" s="1584"/>
      <c r="AK64" s="1584"/>
      <c r="AL64" s="1584"/>
      <c r="AM64" s="1585"/>
    </row>
    <row r="65" spans="2:39" s="1069" customFormat="1" ht="15.65" customHeight="1" x14ac:dyDescent="0.25">
      <c r="B65" s="1118"/>
      <c r="C65" s="1118"/>
      <c r="D65" s="1118"/>
      <c r="E65" s="1118"/>
      <c r="F65" s="1118"/>
      <c r="G65" s="1118"/>
      <c r="H65" s="1118"/>
      <c r="I65" s="1118"/>
      <c r="J65" s="1118"/>
      <c r="K65" s="1118"/>
      <c r="L65" s="1118"/>
      <c r="M65" s="1118"/>
      <c r="N65" s="1118"/>
      <c r="O65" s="1118"/>
      <c r="P65" s="1118"/>
      <c r="Q65" s="1118"/>
      <c r="Y65" s="1623"/>
      <c r="Z65" s="1584"/>
      <c r="AA65" s="1584"/>
      <c r="AB65" s="1584"/>
      <c r="AC65" s="1584"/>
      <c r="AD65" s="1584"/>
      <c r="AE65" s="1584"/>
      <c r="AF65" s="1585"/>
      <c r="AG65" s="1579"/>
      <c r="AH65" s="1623"/>
      <c r="AI65" s="1584"/>
      <c r="AJ65" s="1584"/>
      <c r="AK65" s="1584"/>
      <c r="AL65" s="1584"/>
      <c r="AM65" s="1585"/>
    </row>
    <row r="66" spans="2:39" s="1069" customFormat="1" ht="15.65" customHeight="1" x14ac:dyDescent="0.25">
      <c r="B66" s="1081"/>
      <c r="C66" s="1082"/>
      <c r="D66" s="1082"/>
      <c r="E66" s="1082"/>
      <c r="F66" s="1082"/>
      <c r="G66" s="1150" t="s">
        <v>1335</v>
      </c>
      <c r="H66" s="1082"/>
      <c r="I66" s="1082"/>
      <c r="J66" s="1082"/>
      <c r="K66" s="1082"/>
      <c r="L66" s="1082"/>
      <c r="M66" s="1082"/>
      <c r="N66" s="1082"/>
      <c r="O66" s="1082"/>
      <c r="P66" s="1082"/>
      <c r="Q66" s="1083"/>
      <c r="Y66" s="1623"/>
      <c r="Z66" s="1584"/>
      <c r="AA66" s="1584"/>
      <c r="AB66" s="1584"/>
      <c r="AC66" s="1584"/>
      <c r="AD66" s="1584"/>
      <c r="AE66" s="1584"/>
      <c r="AF66" s="1585"/>
      <c r="AG66" s="1579"/>
      <c r="AH66" s="1623"/>
      <c r="AI66" s="1584"/>
      <c r="AJ66" s="1584"/>
      <c r="AK66" s="1584"/>
      <c r="AL66" s="1584"/>
      <c r="AM66" s="1585"/>
    </row>
    <row r="67" spans="2:39" s="1069" customFormat="1" ht="15.65" customHeight="1" x14ac:dyDescent="0.25">
      <c r="B67" s="1084"/>
      <c r="C67" s="1198" t="s">
        <v>1319</v>
      </c>
      <c r="D67" s="1151"/>
      <c r="E67" s="1152"/>
      <c r="F67" s="1151"/>
      <c r="G67" s="1151"/>
      <c r="H67" s="1881" t="s">
        <v>1326</v>
      </c>
      <c r="I67" s="1151"/>
      <c r="J67" s="1151"/>
      <c r="K67" s="1151"/>
      <c r="L67" s="1151"/>
      <c r="M67" s="1151"/>
      <c r="N67" s="1151"/>
      <c r="O67" s="1151"/>
      <c r="P67" s="1151"/>
      <c r="Q67" s="1087"/>
      <c r="Y67" s="1623"/>
      <c r="Z67" s="1584"/>
      <c r="AA67" s="1584"/>
      <c r="AB67" s="1584"/>
      <c r="AC67" s="1584"/>
      <c r="AD67" s="1584"/>
      <c r="AE67" s="1584"/>
      <c r="AF67" s="1585"/>
      <c r="AG67" s="1579"/>
      <c r="AH67" s="1623"/>
      <c r="AI67" s="1584"/>
      <c r="AJ67" s="1584"/>
      <c r="AK67" s="1584"/>
      <c r="AL67" s="1584"/>
      <c r="AM67" s="1585"/>
    </row>
    <row r="68" spans="2:39" s="1069" customFormat="1" ht="15.65" customHeight="1" x14ac:dyDescent="0.25">
      <c r="B68" s="1089"/>
      <c r="C68" s="1090"/>
      <c r="D68" s="1090"/>
      <c r="E68" s="1200" t="s">
        <v>198</v>
      </c>
      <c r="F68" s="1091" t="s">
        <v>253</v>
      </c>
      <c r="G68" s="1091" t="s">
        <v>184</v>
      </c>
      <c r="H68" s="1882"/>
      <c r="I68" s="1111" t="s">
        <v>262</v>
      </c>
      <c r="J68" s="1111" t="s">
        <v>263</v>
      </c>
      <c r="K68" s="1090"/>
      <c r="L68" s="1090"/>
      <c r="M68" s="1090"/>
      <c r="N68" s="1090"/>
      <c r="O68" s="1091" t="s">
        <v>82</v>
      </c>
      <c r="P68" s="1090"/>
      <c r="Q68" s="1094"/>
      <c r="Y68" s="1582" t="s">
        <v>122</v>
      </c>
      <c r="Z68" s="1582" t="s">
        <v>264</v>
      </c>
      <c r="AA68" s="1582" t="s">
        <v>265</v>
      </c>
      <c r="AB68" s="1725" t="s">
        <v>266</v>
      </c>
      <c r="AC68" s="1582" t="s">
        <v>123</v>
      </c>
      <c r="AD68" s="1725" t="s">
        <v>77</v>
      </c>
      <c r="AE68" s="1582" t="s">
        <v>267</v>
      </c>
      <c r="AF68" s="1731" t="s">
        <v>268</v>
      </c>
      <c r="AG68" s="1579"/>
      <c r="AH68" s="1623"/>
      <c r="AI68" s="1584"/>
      <c r="AJ68" s="1584"/>
      <c r="AK68" s="1584"/>
      <c r="AL68" s="1584"/>
      <c r="AM68" s="1585"/>
    </row>
    <row r="69" spans="2:39" s="1069" customFormat="1" ht="15.65" customHeight="1" x14ac:dyDescent="0.25">
      <c r="B69" s="1095"/>
      <c r="C69" s="1096"/>
      <c r="D69" s="1096"/>
      <c r="E69" s="1173"/>
      <c r="F69" s="1096"/>
      <c r="G69" s="1096"/>
      <c r="H69" s="1096"/>
      <c r="I69" s="1098"/>
      <c r="J69" s="1098"/>
      <c r="K69" s="1096"/>
      <c r="L69" s="1096"/>
      <c r="M69" s="1096"/>
      <c r="N69" s="1125"/>
      <c r="O69" s="1126" t="s">
        <v>505</v>
      </c>
      <c r="P69" s="1155"/>
      <c r="Q69" s="1099"/>
      <c r="Y69" s="1582" t="s">
        <v>128</v>
      </c>
      <c r="Z69" s="1582" t="s">
        <v>270</v>
      </c>
      <c r="AA69" s="1582" t="s">
        <v>270</v>
      </c>
      <c r="AB69" s="1725" t="s">
        <v>271</v>
      </c>
      <c r="AC69" s="1725" t="s">
        <v>272</v>
      </c>
      <c r="AD69" s="1725" t="s">
        <v>273</v>
      </c>
      <c r="AE69" s="1582" t="s">
        <v>270</v>
      </c>
      <c r="AF69" s="1731" t="s">
        <v>270</v>
      </c>
      <c r="AG69" s="1579"/>
      <c r="AH69" s="1623"/>
      <c r="AI69" s="1584"/>
      <c r="AJ69" s="1584"/>
      <c r="AK69" s="1584"/>
      <c r="AL69" s="1584"/>
      <c r="AM69" s="1585"/>
    </row>
    <row r="70" spans="2:39" s="1069" customFormat="1" ht="15.65" customHeight="1" x14ac:dyDescent="0.25">
      <c r="B70" s="1095"/>
      <c r="C70" s="1113" t="s">
        <v>274</v>
      </c>
      <c r="D70" s="1202"/>
      <c r="E70" s="751"/>
      <c r="F70" s="800"/>
      <c r="G70" s="800"/>
      <c r="H70" s="954"/>
      <c r="I70" s="955"/>
      <c r="J70" s="956"/>
      <c r="K70" s="1096"/>
      <c r="L70" s="1096"/>
      <c r="M70" s="1096"/>
      <c r="N70" s="1130"/>
      <c r="O70" s="1131">
        <f>IF(AND(F70="",G70="",H70="",I70="",J70=""),0,IFERROR(AD70*Y70,'Hidden Lists and Summaries'!$C$158))</f>
        <v>0</v>
      </c>
      <c r="P70" s="1132" t="s">
        <v>90</v>
      </c>
      <c r="Q70" s="1099"/>
      <c r="Y70" s="1637" t="e">
        <f>F70*VLOOKUP(G70,massConv[#All],3,FALSE)</f>
        <v>#N/A</v>
      </c>
      <c r="Z70" s="1594" t="e">
        <f>VLOOKUP(I70,BoilerFuelReferenceTable[#All],2,FALSE)</f>
        <v>#N/A</v>
      </c>
      <c r="AA70" s="1635" t="e">
        <f>IF(I70='Key Values'!$B$209,AE70,AF70/VLOOKUP(G70,massConv[#All],3,FALSE))</f>
        <v>#N/A</v>
      </c>
      <c r="AB70" s="1579" t="e">
        <f>Z70+AA70</f>
        <v>#N/A</v>
      </c>
      <c r="AC70" s="1594" t="e">
        <f>VLOOKUP(J70,SteamProperties[#All],6,FALSE)</f>
        <v>#N/A</v>
      </c>
      <c r="AD70" s="1747" t="e">
        <f>IF(H70="",AB70*AC70,H70)</f>
        <v>#N/A</v>
      </c>
      <c r="AE70" s="1635">
        <f>IFERROR(VLOOKUP(iq_location,GaseousFuelEmbodiedEmissions[#All],IF(iq_metro="yes",2,3),FALSE),0)</f>
        <v>0</v>
      </c>
      <c r="AF70" s="1639" t="e">
        <f>VLOOKUP(I70,BoilerFuelReferenceTable[#All],3,FALSE)</f>
        <v>#N/A</v>
      </c>
      <c r="AG70" s="1579"/>
      <c r="AH70" s="1623"/>
      <c r="AI70" s="1584"/>
      <c r="AJ70" s="1584"/>
      <c r="AK70" s="1584"/>
      <c r="AL70" s="1584"/>
      <c r="AM70" s="1585"/>
    </row>
    <row r="71" spans="2:39" s="1069" customFormat="1" ht="15.65" customHeight="1" x14ac:dyDescent="0.25">
      <c r="B71" s="1095"/>
      <c r="C71" s="1113" t="s">
        <v>275</v>
      </c>
      <c r="D71" s="1202"/>
      <c r="E71" s="752"/>
      <c r="F71" s="801"/>
      <c r="G71" s="802"/>
      <c r="H71" s="957"/>
      <c r="I71" s="958"/>
      <c r="J71" s="959"/>
      <c r="K71" s="1096"/>
      <c r="L71" s="1096"/>
      <c r="M71" s="1096"/>
      <c r="N71" s="1130"/>
      <c r="O71" s="1131">
        <f>IF(AND(F71="",G71="",H71="",I71="",J71=""),0,IFERROR(AD71*Y71,'Hidden Lists and Summaries'!$C$158))</f>
        <v>0</v>
      </c>
      <c r="P71" s="1132" t="s">
        <v>90</v>
      </c>
      <c r="Q71" s="1099"/>
      <c r="Y71" s="1623" t="e">
        <f>F71*VLOOKUP(G71,massConv[#All],3,FALSE)</f>
        <v>#N/A</v>
      </c>
      <c r="Z71" s="1584" t="e">
        <f>VLOOKUP(I71,BoilerFuelReferenceTable[#All],2,FALSE)</f>
        <v>#N/A</v>
      </c>
      <c r="AA71" s="1646" t="e">
        <f>IF(I71='Key Values'!$B$209,AE71,AF71)</f>
        <v>#N/A</v>
      </c>
      <c r="AB71" s="1579" t="e">
        <f>Z71+AA71</f>
        <v>#N/A</v>
      </c>
      <c r="AC71" s="1584" t="e">
        <f>VLOOKUP(J71,SteamProperties[#All],6,FALSE)</f>
        <v>#N/A</v>
      </c>
      <c r="AD71" s="1748" t="e">
        <f t="shared" ref="AD71:AD72" si="0">IF(H71="",AB71*AC71,H71)</f>
        <v>#N/A</v>
      </c>
      <c r="AE71" s="1646">
        <f>IFERROR(VLOOKUP(iq_location,GaseousFuelEmbodiedEmissions[#All],IF(iq_metro="yes",2,3),FALSE),0)</f>
        <v>0</v>
      </c>
      <c r="AF71" s="1585" t="e">
        <f>VLOOKUP(I71,BoilerFuelReferenceTable[#All],3,FALSE)</f>
        <v>#N/A</v>
      </c>
      <c r="AG71" s="1579"/>
      <c r="AH71" s="1623"/>
      <c r="AI71" s="1584"/>
      <c r="AJ71" s="1584"/>
      <c r="AK71" s="1584"/>
      <c r="AL71" s="1584"/>
      <c r="AM71" s="1585"/>
    </row>
    <row r="72" spans="2:39" s="1069" customFormat="1" ht="15.65" customHeight="1" x14ac:dyDescent="0.25">
      <c r="B72" s="1095"/>
      <c r="C72" s="1113" t="s">
        <v>276</v>
      </c>
      <c r="D72" s="1202"/>
      <c r="E72" s="780"/>
      <c r="F72" s="803"/>
      <c r="G72" s="804"/>
      <c r="H72" s="960"/>
      <c r="I72" s="961"/>
      <c r="J72" s="962"/>
      <c r="K72" s="1096"/>
      <c r="L72" s="1096"/>
      <c r="M72" s="1096"/>
      <c r="N72" s="1130"/>
      <c r="O72" s="1131">
        <f>IF(AND(F72="",G72="",H72="",I72="",J72=""),0,IFERROR(AD72*Y72,'Hidden Lists and Summaries'!$C$158))</f>
        <v>0</v>
      </c>
      <c r="P72" s="1132" t="s">
        <v>90</v>
      </c>
      <c r="Q72" s="1099"/>
      <c r="Y72" s="1653" t="e">
        <f>F72*VLOOKUP(G72,massConv[#All],3,FALSE)</f>
        <v>#N/A</v>
      </c>
      <c r="Z72" s="1610" t="e">
        <f>VLOOKUP(I72,BoilerFuelReferenceTable[#All],2,FALSE)</f>
        <v>#N/A</v>
      </c>
      <c r="AA72" s="1656" t="e">
        <f>IF(I72='Key Values'!$B$209,AE72,AF72)</f>
        <v>#N/A</v>
      </c>
      <c r="AB72" s="1610" t="e">
        <f>Z72+AA72</f>
        <v>#N/A</v>
      </c>
      <c r="AC72" s="1610" t="e">
        <f>VLOOKUP(J72,SteamProperties[#All],6,FALSE)</f>
        <v>#N/A</v>
      </c>
      <c r="AD72" s="1749" t="e">
        <f t="shared" si="0"/>
        <v>#N/A</v>
      </c>
      <c r="AE72" s="1656">
        <f>IFERROR(VLOOKUP(iq_location,GaseousFuelEmbodiedEmissions[#All],IF(iq_metro="yes",2,3),FALSE),0)</f>
        <v>0</v>
      </c>
      <c r="AF72" s="1655" t="e">
        <f>VLOOKUP(I72,BoilerFuelReferenceTable[#All],3,FALSE)</f>
        <v>#N/A</v>
      </c>
      <c r="AG72" s="1579"/>
      <c r="AH72" s="1623"/>
      <c r="AI72" s="1584"/>
      <c r="AJ72" s="1584"/>
      <c r="AK72" s="1584"/>
      <c r="AL72" s="1584"/>
      <c r="AM72" s="1585"/>
    </row>
    <row r="73" spans="2:39" s="1069" customFormat="1" ht="15.65" customHeight="1" x14ac:dyDescent="0.25">
      <c r="B73" s="1105"/>
      <c r="C73" s="1106"/>
      <c r="D73" s="1106"/>
      <c r="E73" s="1206"/>
      <c r="F73" s="1106"/>
      <c r="G73" s="1106"/>
      <c r="H73" s="1115"/>
      <c r="I73" s="1115"/>
      <c r="J73" s="1106"/>
      <c r="K73" s="1106"/>
      <c r="L73" s="1106"/>
      <c r="M73" s="1106"/>
      <c r="N73" s="1144" t="s">
        <v>120</v>
      </c>
      <c r="O73" s="1145">
        <f>SUM(O70:O72)</f>
        <v>0</v>
      </c>
      <c r="P73" s="1146" t="s">
        <v>90</v>
      </c>
      <c r="Q73" s="1107"/>
      <c r="Y73" s="1623"/>
      <c r="Z73" s="1584"/>
      <c r="AA73" s="1584"/>
      <c r="AB73" s="1584"/>
      <c r="AC73" s="1584"/>
      <c r="AD73" s="1584"/>
      <c r="AE73" s="1594"/>
      <c r="AF73" s="1585"/>
      <c r="AG73" s="1579"/>
      <c r="AH73" s="1623"/>
      <c r="AI73" s="1584">
        <f>O73</f>
        <v>0</v>
      </c>
      <c r="AJ73" s="1584"/>
      <c r="AK73" s="1584" t="str">
        <f>'Hidden Lists and Summaries'!$B$6</f>
        <v>Steam Supply</v>
      </c>
      <c r="AL73" s="1584"/>
      <c r="AM73" s="1585"/>
    </row>
    <row r="74" spans="2:39" s="1069" customFormat="1" ht="15.65" customHeight="1" x14ac:dyDescent="0.25">
      <c r="B74" s="1118"/>
      <c r="C74" s="1118"/>
      <c r="D74" s="1118"/>
      <c r="E74" s="1118"/>
      <c r="F74" s="1118"/>
      <c r="G74" s="1118"/>
      <c r="H74" s="1118"/>
      <c r="I74" s="1118"/>
      <c r="J74" s="1118"/>
      <c r="K74" s="1118"/>
      <c r="L74" s="1118"/>
      <c r="M74" s="1118"/>
      <c r="N74" s="1118"/>
      <c r="O74" s="1118"/>
      <c r="P74" s="1118"/>
      <c r="Q74" s="1118"/>
      <c r="Y74" s="1623"/>
      <c r="Z74" s="1584"/>
      <c r="AA74" s="1584"/>
      <c r="AB74" s="1584"/>
      <c r="AC74" s="1584"/>
      <c r="AD74" s="1584"/>
      <c r="AE74" s="1584"/>
      <c r="AF74" s="1585"/>
      <c r="AG74" s="1585"/>
      <c r="AH74" s="1623"/>
      <c r="AI74" s="1584"/>
      <c r="AJ74" s="1584"/>
      <c r="AK74" s="1584"/>
      <c r="AL74" s="1584"/>
      <c r="AM74" s="1585"/>
    </row>
    <row r="75" spans="2:39" s="1069" customFormat="1" ht="15.65" customHeight="1" x14ac:dyDescent="0.25">
      <c r="B75" s="1207"/>
      <c r="C75" s="1208"/>
      <c r="D75" s="1208"/>
      <c r="E75" s="1208"/>
      <c r="F75" s="1208"/>
      <c r="G75" s="1208"/>
      <c r="H75" s="1208"/>
      <c r="I75" s="1208"/>
      <c r="J75" s="1208"/>
      <c r="K75" s="1208"/>
      <c r="L75" s="1208"/>
      <c r="M75" s="1208"/>
      <c r="N75" s="1208"/>
      <c r="O75" s="1208"/>
      <c r="P75" s="1208"/>
      <c r="Q75" s="1209"/>
      <c r="S75" s="101"/>
      <c r="Y75" s="1623"/>
      <c r="Z75" s="1584"/>
      <c r="AA75" s="1584"/>
      <c r="AB75" s="1584"/>
      <c r="AC75" s="1584"/>
      <c r="AD75" s="1584"/>
      <c r="AE75" s="1584"/>
      <c r="AF75" s="1585"/>
      <c r="AG75" s="1585"/>
      <c r="AH75" s="1623"/>
      <c r="AI75" s="1584"/>
      <c r="AJ75" s="1584"/>
      <c r="AK75" s="1584"/>
      <c r="AL75" s="1584"/>
      <c r="AM75" s="1585"/>
    </row>
    <row r="76" spans="2:39" s="1069" customFormat="1" ht="15.65" customHeight="1" x14ac:dyDescent="0.25">
      <c r="B76" s="1210"/>
      <c r="C76" s="1211" t="s">
        <v>1320</v>
      </c>
      <c r="D76" s="1212"/>
      <c r="E76" s="1212"/>
      <c r="F76" s="1212"/>
      <c r="G76" s="1212"/>
      <c r="H76" s="1881" t="s">
        <v>1326</v>
      </c>
      <c r="I76" s="1212"/>
      <c r="J76" s="1212"/>
      <c r="K76" s="1212"/>
      <c r="L76" s="1212"/>
      <c r="M76" s="1212"/>
      <c r="N76" s="1212"/>
      <c r="O76" s="1212"/>
      <c r="P76" s="1212"/>
      <c r="Q76" s="1213"/>
      <c r="S76" s="101"/>
      <c r="Y76" s="1623"/>
      <c r="Z76" s="1584"/>
      <c r="AA76" s="1584"/>
      <c r="AB76" s="1584"/>
      <c r="AC76" s="1584"/>
      <c r="AD76" s="1584"/>
      <c r="AE76" s="1584"/>
      <c r="AF76" s="1585"/>
      <c r="AG76" s="1585"/>
      <c r="AH76" s="1623"/>
      <c r="AI76" s="1584"/>
      <c r="AJ76" s="1584"/>
      <c r="AK76" s="1584"/>
      <c r="AL76" s="1584"/>
      <c r="AM76" s="1585"/>
    </row>
    <row r="77" spans="2:39" s="1069" customFormat="1" ht="15.65" customHeight="1" x14ac:dyDescent="0.25">
      <c r="B77" s="1214"/>
      <c r="C77" s="1215"/>
      <c r="D77" s="1215"/>
      <c r="E77" s="1111" t="s">
        <v>278</v>
      </c>
      <c r="F77" s="1111" t="s">
        <v>279</v>
      </c>
      <c r="G77" s="1091" t="s">
        <v>184</v>
      </c>
      <c r="H77" s="1882"/>
      <c r="I77" s="1215"/>
      <c r="J77" s="1215"/>
      <c r="K77" s="1215"/>
      <c r="L77" s="1215"/>
      <c r="M77" s="1215"/>
      <c r="N77" s="1215"/>
      <c r="O77" s="1091" t="s">
        <v>82</v>
      </c>
      <c r="P77" s="1215"/>
      <c r="Q77" s="1216"/>
      <c r="S77" s="101"/>
      <c r="Y77" s="1725" t="s">
        <v>77</v>
      </c>
      <c r="Z77" s="1582" t="s">
        <v>94</v>
      </c>
      <c r="AA77" s="1584"/>
      <c r="AB77" s="1584"/>
      <c r="AC77" s="1584"/>
      <c r="AD77" s="1584"/>
      <c r="AE77" s="1584"/>
      <c r="AF77" s="1585"/>
      <c r="AG77" s="1585"/>
      <c r="AH77" s="1623"/>
      <c r="AI77" s="1584"/>
      <c r="AJ77" s="1584"/>
      <c r="AK77" s="1584"/>
      <c r="AL77" s="1584"/>
      <c r="AM77" s="1585"/>
    </row>
    <row r="78" spans="2:39" s="1069" customFormat="1" ht="15.65" customHeight="1" x14ac:dyDescent="0.25">
      <c r="B78" s="1217"/>
      <c r="C78" s="1218"/>
      <c r="D78" s="1218"/>
      <c r="E78" s="1218"/>
      <c r="F78" s="1218"/>
      <c r="G78" s="1218"/>
      <c r="H78" s="1218"/>
      <c r="I78" s="1218"/>
      <c r="J78" s="1218"/>
      <c r="K78" s="1218"/>
      <c r="L78" s="1218"/>
      <c r="M78" s="1218"/>
      <c r="N78" s="1218"/>
      <c r="O78" s="1218"/>
      <c r="P78" s="1218"/>
      <c r="Q78" s="1219"/>
      <c r="S78" s="101"/>
      <c r="Y78" s="1725" t="s">
        <v>280</v>
      </c>
      <c r="Z78" s="1582" t="s">
        <v>281</v>
      </c>
      <c r="AA78" s="1584"/>
      <c r="AB78" s="1584"/>
      <c r="AC78" s="1584"/>
      <c r="AD78" s="1584"/>
      <c r="AE78" s="1584"/>
      <c r="AF78" s="1585"/>
      <c r="AG78" s="1585"/>
      <c r="AH78" s="1623"/>
      <c r="AI78" s="1584"/>
      <c r="AJ78" s="1584"/>
      <c r="AK78" s="1584"/>
      <c r="AL78" s="1584"/>
      <c r="AM78" s="1585"/>
    </row>
    <row r="79" spans="2:39" s="1069" customFormat="1" ht="15.65" customHeight="1" x14ac:dyDescent="0.25">
      <c r="B79" s="1158"/>
      <c r="C79" s="1220" t="s">
        <v>282</v>
      </c>
      <c r="D79" s="1220"/>
      <c r="E79" s="361"/>
      <c r="F79" s="362"/>
      <c r="G79" s="363"/>
      <c r="H79" s="364"/>
      <c r="I79" s="1220"/>
      <c r="J79" s="1220"/>
      <c r="K79" s="1220"/>
      <c r="L79" s="1220"/>
      <c r="M79" s="1220"/>
      <c r="N79" s="1182"/>
      <c r="O79" s="1183">
        <f>IFERROR(Y79*Z79,'Hidden Lists and Summaries'!$C$158)</f>
        <v>0</v>
      </c>
      <c r="P79" s="1184" t="s">
        <v>90</v>
      </c>
      <c r="Q79" s="1221"/>
      <c r="S79" s="101"/>
      <c r="Y79" s="1637">
        <f>H79</f>
        <v>0</v>
      </c>
      <c r="Z79" s="1639">
        <f>F79</f>
        <v>0</v>
      </c>
      <c r="AA79" s="1584"/>
      <c r="AB79" s="1584"/>
      <c r="AC79" s="1584"/>
      <c r="AD79" s="1584"/>
      <c r="AE79" s="1584"/>
      <c r="AF79" s="1585"/>
      <c r="AG79" s="1585"/>
      <c r="AH79" s="1623"/>
      <c r="AI79" s="1584"/>
      <c r="AJ79" s="1584"/>
      <c r="AK79" s="1584"/>
      <c r="AL79" s="1584"/>
      <c r="AM79" s="1585"/>
    </row>
    <row r="80" spans="2:39" s="1069" customFormat="1" ht="15.65" customHeight="1" x14ac:dyDescent="0.25">
      <c r="B80" s="1158"/>
      <c r="C80" s="1220" t="s">
        <v>283</v>
      </c>
      <c r="D80" s="1220"/>
      <c r="E80" s="365"/>
      <c r="F80" s="366"/>
      <c r="G80" s="366"/>
      <c r="H80" s="367"/>
      <c r="I80" s="1220"/>
      <c r="J80" s="1220"/>
      <c r="K80" s="1220"/>
      <c r="L80" s="1220"/>
      <c r="M80" s="1220"/>
      <c r="N80" s="1130"/>
      <c r="O80" s="1131">
        <f>IFERROR(Y80*Z80,'Hidden Lists and Summaries'!$C$158)</f>
        <v>0</v>
      </c>
      <c r="P80" s="1132" t="s">
        <v>90</v>
      </c>
      <c r="Q80" s="1221"/>
      <c r="S80" s="101"/>
      <c r="Y80" s="1623">
        <f>H80</f>
        <v>0</v>
      </c>
      <c r="Z80" s="1585">
        <f>F80</f>
        <v>0</v>
      </c>
      <c r="AA80" s="1584"/>
      <c r="AB80" s="1584"/>
      <c r="AC80" s="1584"/>
      <c r="AD80" s="1584"/>
      <c r="AE80" s="1584"/>
      <c r="AF80" s="1585"/>
      <c r="AG80" s="1585"/>
      <c r="AH80" s="1623"/>
      <c r="AI80" s="1584"/>
      <c r="AJ80" s="1584"/>
      <c r="AK80" s="1584"/>
      <c r="AL80" s="1584"/>
      <c r="AM80" s="1585"/>
    </row>
    <row r="81" spans="2:39" s="1069" customFormat="1" ht="15.65" customHeight="1" x14ac:dyDescent="0.25">
      <c r="B81" s="1158"/>
      <c r="C81" s="1220" t="s">
        <v>284</v>
      </c>
      <c r="D81" s="1220"/>
      <c r="E81" s="368"/>
      <c r="F81" s="366"/>
      <c r="G81" s="366"/>
      <c r="H81" s="369"/>
      <c r="I81" s="1220"/>
      <c r="J81" s="1220"/>
      <c r="K81" s="1220"/>
      <c r="L81" s="1220"/>
      <c r="M81" s="1220"/>
      <c r="N81" s="1130"/>
      <c r="O81" s="1131">
        <f>IFERROR(Y81*Z81,'Hidden Lists and Summaries'!$C$158)</f>
        <v>0</v>
      </c>
      <c r="P81" s="1132" t="s">
        <v>90</v>
      </c>
      <c r="Q81" s="1221"/>
      <c r="S81" s="101"/>
      <c r="Y81" s="1623">
        <f>H81</f>
        <v>0</v>
      </c>
      <c r="Z81" s="1585">
        <f>F81</f>
        <v>0</v>
      </c>
      <c r="AA81" s="1584"/>
      <c r="AB81" s="1584"/>
      <c r="AC81" s="1584"/>
      <c r="AD81" s="1584"/>
      <c r="AE81" s="1584"/>
      <c r="AF81" s="1585"/>
      <c r="AG81" s="1585"/>
      <c r="AH81" s="1623"/>
      <c r="AI81" s="1584"/>
      <c r="AJ81" s="1584"/>
      <c r="AK81" s="1584"/>
      <c r="AL81" s="1584"/>
      <c r="AM81" s="1585"/>
    </row>
    <row r="82" spans="2:39" s="1069" customFormat="1" ht="15.65" customHeight="1" x14ac:dyDescent="0.25">
      <c r="B82" s="1158"/>
      <c r="C82" s="1220" t="s">
        <v>285</v>
      </c>
      <c r="D82" s="1220"/>
      <c r="E82" s="370"/>
      <c r="F82" s="371"/>
      <c r="G82" s="371"/>
      <c r="H82" s="372"/>
      <c r="I82" s="1220"/>
      <c r="J82" s="1220"/>
      <c r="K82" s="1220"/>
      <c r="L82" s="1220"/>
      <c r="M82" s="1220"/>
      <c r="N82" s="1222"/>
      <c r="O82" s="1131">
        <f>IFERROR(Y82*Z82,'Hidden Lists and Summaries'!$C$158)</f>
        <v>0</v>
      </c>
      <c r="P82" s="1132" t="s">
        <v>90</v>
      </c>
      <c r="Q82" s="1221"/>
      <c r="S82" s="101"/>
      <c r="Y82" s="1653">
        <f>H82</f>
        <v>0</v>
      </c>
      <c r="Z82" s="1655">
        <f>F82</f>
        <v>0</v>
      </c>
      <c r="AA82" s="1584"/>
      <c r="AB82" s="1584"/>
      <c r="AC82" s="1584"/>
      <c r="AD82" s="1584"/>
      <c r="AE82" s="1584"/>
      <c r="AF82" s="1585"/>
      <c r="AG82" s="1585"/>
      <c r="AH82" s="1623"/>
      <c r="AI82" s="1584"/>
      <c r="AJ82" s="1584"/>
      <c r="AK82" s="1584"/>
      <c r="AL82" s="1584"/>
      <c r="AM82" s="1585"/>
    </row>
    <row r="83" spans="2:39" s="1069" customFormat="1" ht="15.65" customHeight="1" x14ac:dyDescent="0.25">
      <c r="B83" s="1223"/>
      <c r="C83" s="1161"/>
      <c r="D83" s="1161"/>
      <c r="E83" s="1161"/>
      <c r="F83" s="1161"/>
      <c r="G83" s="1161"/>
      <c r="H83" s="1161"/>
      <c r="I83" s="1161"/>
      <c r="J83" s="1161"/>
      <c r="K83" s="1161"/>
      <c r="L83" s="1161"/>
      <c r="M83" s="1161"/>
      <c r="N83" s="1224" t="s">
        <v>120</v>
      </c>
      <c r="O83" s="1225">
        <f>SUM(O79:O82)</f>
        <v>0</v>
      </c>
      <c r="P83" s="1226" t="s">
        <v>90</v>
      </c>
      <c r="Q83" s="1227"/>
      <c r="S83" s="101"/>
      <c r="Y83" s="1623"/>
      <c r="Z83" s="1584"/>
      <c r="AA83" s="1584"/>
      <c r="AB83" s="1584"/>
      <c r="AC83" s="1584"/>
      <c r="AD83" s="1584"/>
      <c r="AE83" s="1584"/>
      <c r="AF83" s="1585"/>
      <c r="AG83" s="1585"/>
      <c r="AH83" s="1623"/>
      <c r="AI83" s="1584">
        <f>O83</f>
        <v>0</v>
      </c>
      <c r="AJ83" s="1584"/>
      <c r="AK83" s="1584" t="str">
        <f>'Hidden Lists and Summaries'!B5</f>
        <v>Embodied (Upstream)</v>
      </c>
      <c r="AL83" s="1584"/>
      <c r="AM83" s="1585" t="s">
        <v>506</v>
      </c>
    </row>
    <row r="84" spans="2:39" s="1069" customFormat="1" ht="15.65" customHeight="1" x14ac:dyDescent="0.25">
      <c r="B84" s="1118"/>
      <c r="C84" s="1118"/>
      <c r="D84" s="1118"/>
      <c r="E84" s="1118"/>
      <c r="F84" s="1118"/>
      <c r="G84" s="1118"/>
      <c r="H84" s="1118"/>
      <c r="I84" s="1118"/>
      <c r="J84" s="1118"/>
      <c r="K84" s="1118"/>
      <c r="L84" s="1118"/>
      <c r="M84" s="1118"/>
      <c r="N84" s="1118"/>
      <c r="O84" s="1118"/>
      <c r="P84" s="1118"/>
      <c r="Q84" s="1118"/>
      <c r="S84" s="101"/>
      <c r="Y84" s="1623"/>
      <c r="Z84" s="1584"/>
      <c r="AA84" s="1584"/>
      <c r="AB84" s="1584"/>
      <c r="AC84" s="1584"/>
      <c r="AD84" s="1584"/>
      <c r="AE84" s="1584"/>
      <c r="AF84" s="1585"/>
      <c r="AG84" s="1585"/>
      <c r="AH84" s="1623"/>
      <c r="AI84" s="1584"/>
      <c r="AJ84" s="1584"/>
      <c r="AK84" s="1584"/>
      <c r="AL84" s="1584"/>
      <c r="AM84" s="1585"/>
    </row>
    <row r="85" spans="2:39" s="1069" customFormat="1" ht="15.65" customHeight="1" x14ac:dyDescent="0.25">
      <c r="B85" s="1081"/>
      <c r="C85" s="1082"/>
      <c r="D85" s="1082"/>
      <c r="E85" s="1082"/>
      <c r="F85" s="1082"/>
      <c r="G85" s="1082"/>
      <c r="H85" s="1150"/>
      <c r="I85" s="1082"/>
      <c r="J85" s="1082"/>
      <c r="K85" s="1082"/>
      <c r="L85" s="1082"/>
      <c r="M85" s="1082"/>
      <c r="N85" s="1082"/>
      <c r="O85" s="1082"/>
      <c r="P85" s="1082"/>
      <c r="Q85" s="1083"/>
      <c r="Y85" s="1623"/>
      <c r="Z85" s="1584"/>
      <c r="AA85" s="1584"/>
      <c r="AB85" s="1584"/>
      <c r="AC85" s="1584"/>
      <c r="AD85" s="1584"/>
      <c r="AE85" s="1584"/>
      <c r="AF85" s="1585"/>
      <c r="AG85" s="1585"/>
      <c r="AH85" s="1623"/>
      <c r="AI85" s="1584"/>
      <c r="AJ85" s="1584"/>
      <c r="AK85" s="1584"/>
      <c r="AL85" s="1584"/>
      <c r="AM85" s="1585"/>
    </row>
    <row r="86" spans="2:39" s="1069" customFormat="1" ht="15.65" customHeight="1" x14ac:dyDescent="0.25">
      <c r="B86" s="1084"/>
      <c r="C86" s="1109" t="s">
        <v>1353</v>
      </c>
      <c r="D86" s="1086"/>
      <c r="E86" s="1086"/>
      <c r="F86" s="1086"/>
      <c r="G86" s="1881" t="s">
        <v>1309</v>
      </c>
      <c r="H86" s="1895" t="s">
        <v>1337</v>
      </c>
      <c r="I86" s="1086"/>
      <c r="J86" s="1086"/>
      <c r="K86" s="1086"/>
      <c r="L86" s="1086"/>
      <c r="M86" s="1086"/>
      <c r="N86" s="1086"/>
      <c r="O86" s="1086"/>
      <c r="P86" s="1086"/>
      <c r="Q86" s="1087"/>
      <c r="Y86" s="1623"/>
      <c r="Z86" s="1584"/>
      <c r="AA86" s="1584"/>
      <c r="AB86" s="1584"/>
      <c r="AC86" s="1584"/>
      <c r="AD86" s="1584"/>
      <c r="AE86" s="1584"/>
      <c r="AF86" s="1585"/>
      <c r="AG86" s="1585"/>
      <c r="AH86" s="1623"/>
      <c r="AI86" s="1584"/>
      <c r="AJ86" s="1584"/>
      <c r="AK86" s="1584"/>
      <c r="AL86" s="1584"/>
      <c r="AM86" s="1585"/>
    </row>
    <row r="87" spans="2:39" s="1069" customFormat="1" ht="15.65" customHeight="1" x14ac:dyDescent="0.25">
      <c r="B87" s="1089"/>
      <c r="C87" s="1090"/>
      <c r="D87" s="1090"/>
      <c r="E87" s="1091" t="s">
        <v>508</v>
      </c>
      <c r="F87" s="1091" t="s">
        <v>184</v>
      </c>
      <c r="G87" s="1882"/>
      <c r="H87" s="1896"/>
      <c r="I87" s="1093"/>
      <c r="J87" s="1093"/>
      <c r="K87" s="1093"/>
      <c r="L87" s="1093"/>
      <c r="M87" s="1093"/>
      <c r="N87" s="1093"/>
      <c r="O87" s="1091" t="s">
        <v>82</v>
      </c>
      <c r="P87" s="1093"/>
      <c r="Q87" s="1112"/>
      <c r="Y87" s="1738" t="s">
        <v>108</v>
      </c>
      <c r="Z87" s="1582" t="s">
        <v>509</v>
      </c>
      <c r="AA87" s="1582" t="s">
        <v>510</v>
      </c>
      <c r="AB87" s="1582" t="s">
        <v>243</v>
      </c>
      <c r="AC87" s="1584"/>
      <c r="AD87" s="1584"/>
      <c r="AE87" s="1584"/>
      <c r="AF87" s="1585"/>
      <c r="AG87" s="1579"/>
      <c r="AH87" s="1623"/>
      <c r="AI87" s="1584"/>
      <c r="AJ87" s="1584"/>
      <c r="AK87" s="1584"/>
      <c r="AL87" s="1584"/>
      <c r="AM87" s="1585"/>
    </row>
    <row r="88" spans="2:39" s="1069" customFormat="1" ht="15.65" customHeight="1" x14ac:dyDescent="0.25">
      <c r="B88" s="1095"/>
      <c r="C88" s="1096"/>
      <c r="D88" s="1096"/>
      <c r="E88" s="1096"/>
      <c r="F88" s="1096"/>
      <c r="G88" s="1113"/>
      <c r="H88" s="1228"/>
      <c r="I88" s="1096"/>
      <c r="J88" s="1096"/>
      <c r="K88" s="1096"/>
      <c r="L88" s="1096"/>
      <c r="M88" s="1096"/>
      <c r="N88" s="1125"/>
      <c r="O88" s="1126" t="s">
        <v>209</v>
      </c>
      <c r="P88" s="1155"/>
      <c r="Q88" s="1099"/>
      <c r="Y88" s="1725" t="s">
        <v>1332</v>
      </c>
      <c r="Z88" s="1582" t="s">
        <v>511</v>
      </c>
      <c r="AA88" s="1629" t="s">
        <v>114</v>
      </c>
      <c r="AB88" s="1582"/>
      <c r="AC88" s="1584"/>
      <c r="AD88" s="1584"/>
      <c r="AE88" s="1584"/>
      <c r="AF88" s="1585"/>
      <c r="AG88" s="1579"/>
      <c r="AH88" s="1623"/>
      <c r="AI88" s="1584"/>
      <c r="AJ88" s="1584"/>
      <c r="AK88" s="1584"/>
      <c r="AL88" s="1584"/>
      <c r="AM88" s="1585"/>
    </row>
    <row r="89" spans="2:39" s="1069" customFormat="1" ht="15.65" customHeight="1" x14ac:dyDescent="0.25">
      <c r="B89" s="1095"/>
      <c r="C89" s="1113" t="s">
        <v>512</v>
      </c>
      <c r="D89" s="1096"/>
      <c r="E89" s="423">
        <v>1000</v>
      </c>
      <c r="F89" s="424" t="s">
        <v>476</v>
      </c>
      <c r="G89" s="425"/>
      <c r="H89" s="1000"/>
      <c r="I89" s="1101"/>
      <c r="J89" s="1101"/>
      <c r="K89" s="1096"/>
      <c r="L89" s="1096"/>
      <c r="M89" s="1096"/>
      <c r="N89" s="1130"/>
      <c r="O89" s="1131" t="str">
        <f>IF(E89="",0,IFERROR(Y89*Z89*AA89,'Hidden Lists and Summaries'!$C$158))</f>
        <v>Error -  Review inputs</v>
      </c>
      <c r="P89" s="1132" t="s">
        <v>90</v>
      </c>
      <c r="Q89" s="1099"/>
      <c r="Y89" s="1750" t="e">
        <f>IF(G89&lt;&gt;"", G89,
IF(iq_metro="Yes",VLOOKUP(iq_location,'Key Values'!$B$89:$D$97,2,FALSE),
VLOOKUP(iq_location,'Key Values'!$B$89:$D$97,3,FALSE)))</f>
        <v>#N/A</v>
      </c>
      <c r="Z89" s="1751">
        <f>VLOOKUP(F89,volConv[#All], 2, FALSE)*E89</f>
        <v>1000</v>
      </c>
      <c r="AA89" s="1741">
        <f>IF(H89&lt;&gt;"",H89,VLOOKUP(AB89,GasFuel[#All],2,FALSE))</f>
        <v>3.9300000000000002E-2</v>
      </c>
      <c r="AB89" s="1655" t="s">
        <v>513</v>
      </c>
      <c r="AC89" s="1584"/>
      <c r="AD89" s="1584"/>
      <c r="AE89" s="1584"/>
      <c r="AF89" s="1585"/>
      <c r="AG89" s="1579"/>
      <c r="AH89" s="1623"/>
      <c r="AI89" s="1584"/>
      <c r="AJ89" s="1584"/>
      <c r="AK89" s="1584"/>
      <c r="AL89" s="1584"/>
      <c r="AM89" s="1585"/>
    </row>
    <row r="90" spans="2:39" s="1069" customFormat="1" ht="15.65" customHeight="1" x14ac:dyDescent="0.25">
      <c r="B90" s="1105"/>
      <c r="C90" s="1106"/>
      <c r="D90" s="1106"/>
      <c r="E90" s="1097"/>
      <c r="F90" s="1097"/>
      <c r="G90" s="1097"/>
      <c r="H90" s="1230"/>
      <c r="I90" s="1115"/>
      <c r="J90" s="1106"/>
      <c r="K90" s="1106"/>
      <c r="L90" s="1106"/>
      <c r="M90" s="1106"/>
      <c r="N90" s="1144" t="s">
        <v>120</v>
      </c>
      <c r="O90" s="1145">
        <f>SUM(O89:O89)</f>
        <v>0</v>
      </c>
      <c r="P90" s="1146" t="s">
        <v>90</v>
      </c>
      <c r="Q90" s="1107"/>
      <c r="Y90" s="1623"/>
      <c r="Z90" s="1584"/>
      <c r="AA90" s="1584"/>
      <c r="AB90" s="1594"/>
      <c r="AC90" s="1584"/>
      <c r="AD90" s="1584"/>
      <c r="AE90" s="1584"/>
      <c r="AF90" s="1585"/>
      <c r="AG90" s="1579"/>
      <c r="AH90" s="1623"/>
      <c r="AI90" s="1584">
        <f>O90</f>
        <v>0</v>
      </c>
      <c r="AJ90" s="1584"/>
      <c r="AK90" s="1584" t="str">
        <f>'Hidden Lists and Summaries'!B5</f>
        <v>Embodied (Upstream)</v>
      </c>
      <c r="AL90" s="1584"/>
      <c r="AM90" s="1585" t="s">
        <v>514</v>
      </c>
    </row>
    <row r="91" spans="2:39" s="1069" customFormat="1" ht="15.65" customHeight="1" x14ac:dyDescent="0.25">
      <c r="B91" s="1118"/>
      <c r="C91" s="1118"/>
      <c r="D91" s="1118"/>
      <c r="E91" s="1118"/>
      <c r="F91" s="1118"/>
      <c r="G91" s="1118"/>
      <c r="H91" s="1118"/>
      <c r="I91" s="1118"/>
      <c r="J91" s="1118"/>
      <c r="K91" s="1118"/>
      <c r="L91" s="1118"/>
      <c r="M91" s="1118"/>
      <c r="N91" s="1118"/>
      <c r="O91" s="1118"/>
      <c r="P91" s="1118"/>
      <c r="Q91" s="1118"/>
      <c r="S91" s="101"/>
      <c r="Y91" s="1623"/>
      <c r="Z91" s="1584"/>
      <c r="AA91" s="1584"/>
      <c r="AB91" s="1584"/>
      <c r="AC91" s="1584"/>
      <c r="AD91" s="1584"/>
      <c r="AE91" s="1584"/>
      <c r="AF91" s="1585"/>
      <c r="AG91" s="1579"/>
      <c r="AH91" s="1623"/>
      <c r="AI91" s="1584"/>
      <c r="AJ91" s="1584"/>
      <c r="AK91" s="1584"/>
      <c r="AL91" s="1584"/>
      <c r="AM91" s="1585"/>
    </row>
    <row r="92" spans="2:39" s="1069" customFormat="1" ht="15.65" customHeight="1" x14ac:dyDescent="0.25">
      <c r="B92" s="1081"/>
      <c r="C92" s="1082"/>
      <c r="D92" s="1082"/>
      <c r="E92" s="1082"/>
      <c r="F92" s="1082"/>
      <c r="G92" s="1082"/>
      <c r="H92" s="1890" t="s">
        <v>1336</v>
      </c>
      <c r="I92" s="1890"/>
      <c r="J92" s="1890"/>
      <c r="K92" s="1890"/>
      <c r="L92" s="1082"/>
      <c r="M92" s="1082"/>
      <c r="N92" s="1082"/>
      <c r="O92" s="1082"/>
      <c r="P92" s="1082"/>
      <c r="Q92" s="1083"/>
      <c r="Y92" s="1623"/>
      <c r="Z92" s="1584"/>
      <c r="AA92" s="1584"/>
      <c r="AB92" s="1584"/>
      <c r="AC92" s="1584"/>
      <c r="AD92" s="1584"/>
      <c r="AE92" s="1584"/>
      <c r="AF92" s="1585"/>
      <c r="AG92" s="1579"/>
      <c r="AH92" s="1623"/>
      <c r="AI92" s="1584"/>
      <c r="AJ92" s="1584"/>
      <c r="AK92" s="1584"/>
      <c r="AL92" s="1584"/>
      <c r="AM92" s="1585"/>
    </row>
    <row r="93" spans="2:39" s="1069" customFormat="1" ht="15.65" customHeight="1" x14ac:dyDescent="0.25">
      <c r="B93" s="1084"/>
      <c r="C93" s="145" t="s">
        <v>1343</v>
      </c>
      <c r="D93" s="144"/>
      <c r="E93" s="344" t="s">
        <v>1344</v>
      </c>
      <c r="F93" s="1151"/>
      <c r="G93" s="1151"/>
      <c r="H93" s="1151"/>
      <c r="I93" s="1879" t="s">
        <v>1308</v>
      </c>
      <c r="J93" s="1881" t="s">
        <v>1328</v>
      </c>
      <c r="K93" s="1881" t="s">
        <v>1309</v>
      </c>
      <c r="L93" s="1151"/>
      <c r="M93" s="1151"/>
      <c r="N93" s="1151"/>
      <c r="O93" s="1151"/>
      <c r="P93" s="1151"/>
      <c r="Q93" s="1087"/>
      <c r="Y93" s="1623"/>
      <c r="Z93" s="1584"/>
      <c r="AA93" s="1584"/>
      <c r="AB93" s="1584"/>
      <c r="AC93" s="1584"/>
      <c r="AD93" s="1584"/>
      <c r="AE93" s="1584"/>
      <c r="AF93" s="1585"/>
      <c r="AG93" s="1579"/>
      <c r="AH93" s="1623"/>
      <c r="AI93" s="1584"/>
      <c r="AJ93" s="1584"/>
      <c r="AK93" s="1584"/>
      <c r="AL93" s="1584"/>
      <c r="AM93" s="1585"/>
    </row>
    <row r="94" spans="2:39" s="1069" customFormat="1" ht="15.65" customHeight="1" x14ac:dyDescent="0.25">
      <c r="B94" s="1089"/>
      <c r="C94" s="1090"/>
      <c r="D94" s="1090"/>
      <c r="E94" s="1091" t="s">
        <v>112</v>
      </c>
      <c r="F94" s="1091" t="s">
        <v>117</v>
      </c>
      <c r="G94" s="1091" t="s">
        <v>119</v>
      </c>
      <c r="H94" s="1111" t="s">
        <v>184</v>
      </c>
      <c r="I94" s="1880"/>
      <c r="J94" s="1882"/>
      <c r="K94" s="1882"/>
      <c r="L94" s="1093"/>
      <c r="M94" s="1093"/>
      <c r="N94" s="1093"/>
      <c r="O94" s="1091" t="s">
        <v>82</v>
      </c>
      <c r="P94" s="1093"/>
      <c r="Q94" s="1112"/>
      <c r="Y94" s="1580" t="s">
        <v>106</v>
      </c>
      <c r="Z94" s="1752" t="s">
        <v>107</v>
      </c>
      <c r="AA94" s="1753" t="s">
        <v>107</v>
      </c>
      <c r="AB94" s="1581" t="s">
        <v>108</v>
      </c>
      <c r="AC94" s="1582" t="s">
        <v>109</v>
      </c>
      <c r="AD94" s="1731" t="s">
        <v>243</v>
      </c>
      <c r="AE94" s="1584"/>
      <c r="AF94" s="1585"/>
      <c r="AG94" s="1579"/>
      <c r="AH94" s="1623"/>
      <c r="AI94" s="1584"/>
      <c r="AJ94" s="1584"/>
      <c r="AK94" s="1584"/>
      <c r="AL94" s="1584"/>
      <c r="AM94" s="1585"/>
    </row>
    <row r="95" spans="2:39" s="1069" customFormat="1" ht="15.65" customHeight="1" x14ac:dyDescent="0.25">
      <c r="B95" s="1095"/>
      <c r="C95" s="1096"/>
      <c r="D95" s="1096"/>
      <c r="E95" s="1096"/>
      <c r="F95" s="1096"/>
      <c r="G95" s="1096"/>
      <c r="H95" s="1098"/>
      <c r="I95" s="1233"/>
      <c r="J95" s="1101"/>
      <c r="K95" s="1101"/>
      <c r="L95" s="1096"/>
      <c r="M95" s="1125"/>
      <c r="N95" s="1126" t="s">
        <v>209</v>
      </c>
      <c r="O95" s="1126" t="s">
        <v>258</v>
      </c>
      <c r="P95" s="1155"/>
      <c r="Q95" s="1099"/>
      <c r="Y95" s="1580" t="s">
        <v>113</v>
      </c>
      <c r="Z95" s="1581" t="s">
        <v>114</v>
      </c>
      <c r="AA95" s="1754" t="s">
        <v>1329</v>
      </c>
      <c r="AB95" s="1755"/>
      <c r="AC95" s="1582" t="s">
        <v>115</v>
      </c>
      <c r="AD95" s="1731"/>
      <c r="AE95" s="1584"/>
      <c r="AF95" s="1585"/>
      <c r="AG95" s="1579"/>
      <c r="AH95" s="1623"/>
      <c r="AI95" s="1584"/>
      <c r="AJ95" s="1584"/>
      <c r="AK95" s="1584"/>
      <c r="AL95" s="1584"/>
      <c r="AM95" s="1585"/>
    </row>
    <row r="96" spans="2:39" s="1069" customFormat="1" ht="15.65" customHeight="1" x14ac:dyDescent="0.25">
      <c r="B96" s="1095"/>
      <c r="C96" s="1113" t="s">
        <v>291</v>
      </c>
      <c r="D96" s="1096"/>
      <c r="E96" s="987"/>
      <c r="F96" s="1511"/>
      <c r="G96" s="431"/>
      <c r="H96" s="1711"/>
      <c r="I96" s="1001"/>
      <c r="J96" s="1002"/>
      <c r="K96" s="977"/>
      <c r="L96" s="1096"/>
      <c r="M96" s="1130"/>
      <c r="N96" s="1131">
        <f>IF(E96="",0,IFERROR(AA96*AB96*AC96,'Hidden Lists and Summaries'!$C$158))</f>
        <v>0</v>
      </c>
      <c r="O96" s="1131">
        <f>IF(E96="",0,IFERROR(Y96*AA96*AC96,'Hidden Lists and Summaries'!$C$158))</f>
        <v>0</v>
      </c>
      <c r="P96" s="1132" t="s">
        <v>90</v>
      </c>
      <c r="Q96" s="1099"/>
      <c r="Y96" s="1756" t="str">
        <f>IF(I96&lt;&gt;"",I96,
IF(E96="Solid Fuel",VLOOKUP(F96,'Key Values'!$B$40:$G$58,6,FALSE),
IF(E96="Gaseous Fuel", VLOOKUP(F96,'Key Values'!$B$71:$G$88,6,FALSE),
IF(E96="Liquid Fuel", VLOOKUP(F96,'Key Values'!$B$100:$H$120,7,FALSE),
'Hidden Lists and Summaries'!$C$157))))</f>
        <v>No default, please enter a bespoke value</v>
      </c>
      <c r="Z96" s="1583" t="e">
        <f>IF(J96&lt;&gt;"",J96,IF(E96="Solid Fuel",VLOOKUP(F96,'Key Values'!$B$40:$G$58,2,FALSE),
IF(E96="Gaseous Fuel",VLOOKUP(F96,'Key Values'!$B$71:$G$88,2,FALSE),
VLOOKUP(F96,'Key Values'!$B$100:$H$120,2,FALSE))))</f>
        <v>#N/A</v>
      </c>
      <c r="AA96" s="1720" t="e" cm="1">
        <f t="array" ref="AA96">IF(J96&lt;&gt;"",J96/_xlfn.IFS('Key Values'!$B$35=E96, VLOOKUP(H96,massConv[#All], 2, FALSE),
'Key Values'!$B$36=E96, IF(VLOOKUP(F96,'Key Values'!$B$101:$H$121,3,FALSE)="GJ/t", VLOOKUP(H96,massConv[#All], 2, FALSE), VLOOKUP(H96,volConv[#All], 2, FALSE)),
'Key Values'!$B$37=E96, VLOOKUP(H96,volConv[#All], 2, FALSE)),Z96)</f>
        <v>#N/A</v>
      </c>
      <c r="AB96" s="1601" t="e" cm="1">
        <f t="array" ref="AB96">_xlfn.IFS(K96&lt;&gt;"",K96,E96="Solid Fuel", VLOOKUP(F96,'Key Values'!$B$61:$C$68,2,FALSE),
E96="Liquid fuel",VLOOKUP(F96,'Key Values'!$B$123:$C$143,2,FALSE),
E96="Gaseous Fuel", IF(VLOOKUP(F96,GasFuel[#All],7,FALSE)=TRUE,IF(F96='Key Values'!$B$77,'Hidden Lists and Summaries'!$C$157,VLOOKUP(iq_location,GaseousFuelEmbodiedEmissions[#All],IF(iq_metro="Yes",2,3),FALSE)),'Hidden Lists and Summaries'!$C$157))</f>
        <v>#N/A</v>
      </c>
      <c r="AC96" s="1601" t="e" cm="1">
        <f t="array" ref="AC96">_xlfn.IFS('Key Values'!$B$35=E96, VLOOKUP(H96,massConv[#All], 2, FALSE),
'Key Values'!$B$36=E96, IF(VLOOKUP(F96,'Key Values'!$B$101:$H$121,3,FALSE)="GJ/t", VLOOKUP(H96,massConv[#All], 2, FALSE), VLOOKUP(H96,volConv[#All], 2, FALSE)),
'Key Values'!$B$37=E96, VLOOKUP(H96,volConv[#All], 2, FALSE)) * G96</f>
        <v>#N/A</v>
      </c>
      <c r="AD96" s="1585">
        <f>F96</f>
        <v>0</v>
      </c>
      <c r="AE96" s="1584"/>
      <c r="AF96" s="1585"/>
      <c r="AG96" s="1579"/>
      <c r="AH96" s="1623"/>
      <c r="AI96" s="1584"/>
      <c r="AJ96" s="1584"/>
      <c r="AK96" s="1584"/>
      <c r="AL96" s="1584"/>
      <c r="AM96" s="1585"/>
    </row>
    <row r="97" spans="2:39" s="1069" customFormat="1" ht="15.65" customHeight="1" x14ac:dyDescent="0.25">
      <c r="B97" s="1095"/>
      <c r="C97" s="1113" t="s">
        <v>292</v>
      </c>
      <c r="D97" s="1096"/>
      <c r="E97" s="1005"/>
      <c r="F97" s="1513"/>
      <c r="G97" s="429"/>
      <c r="H97" s="1802"/>
      <c r="I97" s="1001"/>
      <c r="J97" s="1003"/>
      <c r="K97" s="980"/>
      <c r="L97" s="1096"/>
      <c r="M97" s="1130"/>
      <c r="N97" s="1131">
        <f>IF(E97="",0,IFERROR(AA97*AB97*AC97,'Hidden Lists and Summaries'!$C$158))</f>
        <v>0</v>
      </c>
      <c r="O97" s="1131">
        <f>IF(E97="",0,IFERROR(Y97*AA97*AC97,'Hidden Lists and Summaries'!$C$158))</f>
        <v>0</v>
      </c>
      <c r="P97" s="1132" t="s">
        <v>90</v>
      </c>
      <c r="Q97" s="1099"/>
      <c r="Y97" s="1756" t="str">
        <f>IF(I97&lt;&gt;"",I97,
IF(E97="Solid Fuel",VLOOKUP(F97,'Key Values'!$B$40:$G$58,6,FALSE),
IF(E97="Gaseous Fuel", VLOOKUP(F97,'Key Values'!$B$71:$G$88,6,FALSE),
IF(E97="Liquid Fuel", VLOOKUP(F97,'Key Values'!$B$100:$H$120,7,FALSE),
'Hidden Lists and Summaries'!$C$157))))</f>
        <v>No default, please enter a bespoke value</v>
      </c>
      <c r="Z97" s="1583" t="e">
        <f>IF(J97&lt;&gt;"",J97,IF(E97="Solid Fuel",VLOOKUP(F97,'Key Values'!$B$40:$G$58,2,FALSE),
IF(E97="Gaseous Fuel",VLOOKUP(F97,'Key Values'!$B$71:$G$88,2,FALSE),
VLOOKUP(F97,'Key Values'!$B$100:$H$120,2,FALSE))))</f>
        <v>#N/A</v>
      </c>
      <c r="AA97" s="1720" t="e" cm="1">
        <f t="array" ref="AA97">IF(J97&lt;&gt;"",J97/_xlfn.IFS('Key Values'!$B$35=E97, VLOOKUP(H97,massConv[#All], 2, FALSE),
'Key Values'!$B$36=E97, IF(VLOOKUP(F97,'Key Values'!$B$101:$H$121,3,FALSE)="GJ/t", VLOOKUP(H97,massConv[#All], 2, FALSE), VLOOKUP(H97,volConv[#All], 2, FALSE)),
'Key Values'!$B$37=E97, VLOOKUP(H97,volConv[#All], 2, FALSE)),Z97)</f>
        <v>#N/A</v>
      </c>
      <c r="AB97" s="1601" t="e" cm="1">
        <f t="array" ref="AB97">_xlfn.IFS(K97&lt;&gt;"",K97,E97="Solid Fuel", VLOOKUP(F97,'Key Values'!$B$61:$C$68,2,FALSE),
E97="Liquid fuel",VLOOKUP(F97,'Key Values'!$B$123:$C$143,2,FALSE),
E97="Gaseous Fuel", IF(VLOOKUP(F97,GasFuel[#All],7,FALSE)=TRUE,IF(F97='Key Values'!$B$77,'Hidden Lists and Summaries'!$C$157,VLOOKUP(iq_location,GaseousFuelEmbodiedEmissions[#All],IF(iq_metro="Yes",2,3),FALSE)),'Hidden Lists and Summaries'!$C$157))</f>
        <v>#N/A</v>
      </c>
      <c r="AC97" s="1601" t="e" cm="1">
        <f t="array" ref="AC97">_xlfn.IFS('Key Values'!$B$35=E97, VLOOKUP(H97,massConv[#All], 2, FALSE),
'Key Values'!$B$36=E97, IF(VLOOKUP(F97,'Key Values'!$B$101:$H$121,3,FALSE)="GJ/t", VLOOKUP(H97,massConv[#All], 2, FALSE), VLOOKUP(H97,volConv[#All], 2, FALSE)),
'Key Values'!$B$37=E97, VLOOKUP(H97,volConv[#All], 2, FALSE)) * G97</f>
        <v>#N/A</v>
      </c>
      <c r="AD97" s="1585">
        <f>F97</f>
        <v>0</v>
      </c>
      <c r="AE97" s="1584"/>
      <c r="AF97" s="1585"/>
      <c r="AG97" s="1579"/>
      <c r="AH97" s="1623"/>
      <c r="AI97" s="1584"/>
      <c r="AJ97" s="1584"/>
      <c r="AK97" s="1584"/>
      <c r="AL97" s="1584"/>
      <c r="AM97" s="1585"/>
    </row>
    <row r="98" spans="2:39" s="1069" customFormat="1" ht="15.65" customHeight="1" x14ac:dyDescent="0.25">
      <c r="B98" s="1095"/>
      <c r="C98" s="1113" t="s">
        <v>293</v>
      </c>
      <c r="D98" s="1096"/>
      <c r="E98" s="969"/>
      <c r="F98" s="1515"/>
      <c r="G98" s="379"/>
      <c r="H98" s="1802"/>
      <c r="I98" s="978"/>
      <c r="J98" s="979"/>
      <c r="K98" s="981"/>
      <c r="L98" s="1096"/>
      <c r="M98" s="1130"/>
      <c r="N98" s="1131">
        <f>IF(E98="",0,IFERROR(AA98*AB98*AC98,'Hidden Lists and Summaries'!$C$158))</f>
        <v>0</v>
      </c>
      <c r="O98" s="1131">
        <f>IF(E98="",0,IFERROR(Y98*AA98*AC98,'Hidden Lists and Summaries'!$C$158))</f>
        <v>0</v>
      </c>
      <c r="P98" s="1132" t="s">
        <v>90</v>
      </c>
      <c r="Q98" s="1099"/>
      <c r="Y98" s="1756" t="str">
        <f>IF(I98&lt;&gt;"",I98,
IF(E98="Solid Fuel",VLOOKUP(F98,'Key Values'!$B$40:$G$58,6,FALSE),
IF(E98="Gaseous Fuel", VLOOKUP(F98,'Key Values'!$B$71:$G$88,6,FALSE),
IF(E98="Liquid Fuel", VLOOKUP(F98,'Key Values'!$B$100:$H$120,7,FALSE),
'Hidden Lists and Summaries'!$C$157))))</f>
        <v>No default, please enter a bespoke value</v>
      </c>
      <c r="Z98" s="1583" t="e">
        <f>IF(J98&lt;&gt;"",J98,IF(E98="Solid Fuel",VLOOKUP(F98,'Key Values'!$B$40:$G$58,2,FALSE),
IF(E98="Gaseous Fuel",VLOOKUP(F98,'Key Values'!$B$71:$G$88,2,FALSE),
VLOOKUP(F98,'Key Values'!$B$100:$H$120,2,FALSE))))</f>
        <v>#N/A</v>
      </c>
      <c r="AA98" s="1720" t="e" cm="1">
        <f t="array" ref="AA98">IF(J98&lt;&gt;"",J98/_xlfn.IFS('Key Values'!$B$35=E98, VLOOKUP(H98,massConv[#All], 2, FALSE),
'Key Values'!$B$36=E98, IF(VLOOKUP(F98,'Key Values'!$B$101:$H$121,3,FALSE)="GJ/t", VLOOKUP(H98,massConv[#All], 2, FALSE), VLOOKUP(H98,volConv[#All], 2, FALSE)),
'Key Values'!$B$37=E98, VLOOKUP(H98,volConv[#All], 2, FALSE)),Z98)</f>
        <v>#N/A</v>
      </c>
      <c r="AB98" s="1601" t="e" cm="1">
        <f t="array" ref="AB98">_xlfn.IFS(K98&lt;&gt;"",K98,E98="Solid Fuel", VLOOKUP(F98,'Key Values'!$B$61:$C$68,2,FALSE),
E98="Liquid fuel",VLOOKUP(F98,'Key Values'!$B$123:$C$143,2,FALSE),
E98="Gaseous Fuel", IF(VLOOKUP(F98,GasFuel[#All],7,FALSE)=TRUE,IF(F98='Key Values'!$B$77,'Hidden Lists and Summaries'!$C$157,VLOOKUP(iq_location,GaseousFuelEmbodiedEmissions[#All],IF(iq_metro="Yes",2,3),FALSE)),'Hidden Lists and Summaries'!$C$157))</f>
        <v>#N/A</v>
      </c>
      <c r="AC98" s="1601" t="e" cm="1">
        <f t="array" ref="AC98">_xlfn.IFS('Key Values'!$B$35=E98, VLOOKUP(H98,massConv[#All], 2, FALSE),
'Key Values'!$B$36=E98, IF(VLOOKUP(F98,'Key Values'!$B$101:$H$121,3,FALSE)="GJ/t", VLOOKUP(H98,massConv[#All], 2, FALSE), VLOOKUP(H98,volConv[#All], 2, FALSE)),
'Key Values'!$B$37=E98, VLOOKUP(H98,volConv[#All], 2, FALSE)) * G98</f>
        <v>#N/A</v>
      </c>
      <c r="AD98" s="1585">
        <f>F98</f>
        <v>0</v>
      </c>
      <c r="AE98" s="1584"/>
      <c r="AF98" s="1585"/>
      <c r="AG98" s="1579"/>
      <c r="AH98" s="1623"/>
      <c r="AI98" s="1584"/>
      <c r="AJ98" s="1584"/>
      <c r="AK98" s="1584"/>
      <c r="AL98" s="1584"/>
      <c r="AM98" s="1585"/>
    </row>
    <row r="99" spans="2:39" s="1069" customFormat="1" ht="15.65" customHeight="1" x14ac:dyDescent="0.25">
      <c r="B99" s="1095"/>
      <c r="C99" s="1113" t="s">
        <v>294</v>
      </c>
      <c r="D99" s="1096"/>
      <c r="E99" s="971"/>
      <c r="F99" s="1517"/>
      <c r="G99" s="386"/>
      <c r="H99" s="1802"/>
      <c r="I99" s="978"/>
      <c r="J99" s="979"/>
      <c r="K99" s="981"/>
      <c r="L99" s="1096"/>
      <c r="M99" s="1130"/>
      <c r="N99" s="1131">
        <f>IF(E99="",0,IFERROR(AA99*AB99*AC99,'Hidden Lists and Summaries'!$C$158))</f>
        <v>0</v>
      </c>
      <c r="O99" s="1131">
        <f>IF(E99="",0,IFERROR(Y99*AA99*AC99,'Hidden Lists and Summaries'!$C$158))</f>
        <v>0</v>
      </c>
      <c r="P99" s="1132" t="s">
        <v>90</v>
      </c>
      <c r="Q99" s="1099"/>
      <c r="Y99" s="1756" t="str">
        <f>IF(I99&lt;&gt;"",I99,
IF(E99="Solid Fuel",VLOOKUP(F99,'Key Values'!$B$40:$G$58,6,FALSE),
IF(E99="Gaseous Fuel", VLOOKUP(F99,'Key Values'!$B$71:$G$88,6,FALSE),
IF(E99="Liquid Fuel", VLOOKUP(F99,'Key Values'!$B$100:$H$120,7,FALSE),
'Hidden Lists and Summaries'!$C$157))))</f>
        <v>No default, please enter a bespoke value</v>
      </c>
      <c r="Z99" s="1583" t="e">
        <f>IF(J99&lt;&gt;"",J99,IF(E99="Solid Fuel",VLOOKUP(F99,'Key Values'!$B$40:$G$58,2,FALSE),
IF(E99="Gaseous Fuel",VLOOKUP(F99,'Key Values'!$B$71:$G$88,2,FALSE),
VLOOKUP(F99,'Key Values'!$B$100:$H$120,2,FALSE))))</f>
        <v>#N/A</v>
      </c>
      <c r="AA99" s="1720" t="e" cm="1">
        <f t="array" ref="AA99">IF(J99&lt;&gt;"",J99/_xlfn.IFS('Key Values'!$B$35=E99, VLOOKUP(H99,massConv[#All], 2, FALSE),
'Key Values'!$B$36=E99, IF(VLOOKUP(F99,'Key Values'!$B$101:$H$121,3,FALSE)="GJ/t", VLOOKUP(H99,massConv[#All], 2, FALSE), VLOOKUP(H99,volConv[#All], 2, FALSE)),
'Key Values'!$B$37=E99, VLOOKUP(H99,volConv[#All], 2, FALSE)),Z99)</f>
        <v>#N/A</v>
      </c>
      <c r="AB99" s="1601" t="e" cm="1">
        <f t="array" ref="AB99">_xlfn.IFS(K99&lt;&gt;"",K99,E99="Solid Fuel", VLOOKUP(F99,'Key Values'!$B$61:$C$68,2,FALSE),
E99="Liquid fuel",VLOOKUP(F99,'Key Values'!$B$123:$C$143,2,FALSE),
E99="Gaseous Fuel", IF(VLOOKUP(F99,GasFuel[#All],7,FALSE)=TRUE,IF(F99='Key Values'!$B$77,'Hidden Lists and Summaries'!$C$157,VLOOKUP(iq_location,GaseousFuelEmbodiedEmissions[#All],IF(iq_metro="Yes",2,3),FALSE)),'Hidden Lists and Summaries'!$C$157))</f>
        <v>#N/A</v>
      </c>
      <c r="AC99" s="1601" t="e" cm="1">
        <f t="array" ref="AC99">_xlfn.IFS('Key Values'!$B$35=E99, VLOOKUP(H99,massConv[#All], 2, FALSE),
'Key Values'!$B$36=E99, IF(VLOOKUP(F99,'Key Values'!$B$101:$H$121,3,FALSE)="GJ/t", VLOOKUP(H99,massConv[#All], 2, FALSE), VLOOKUP(H99,volConv[#All], 2, FALSE)),
'Key Values'!$B$37=E99, VLOOKUP(H99,volConv[#All], 2, FALSE)) * G99</f>
        <v>#N/A</v>
      </c>
      <c r="AD99" s="1585">
        <f>F99</f>
        <v>0</v>
      </c>
      <c r="AE99" s="1584"/>
      <c r="AF99" s="1585"/>
      <c r="AG99" s="1579"/>
      <c r="AH99" s="1623"/>
      <c r="AI99" s="1584"/>
      <c r="AJ99" s="1584"/>
      <c r="AK99" s="1584"/>
      <c r="AL99" s="1584"/>
      <c r="AM99" s="1585"/>
    </row>
    <row r="100" spans="2:39" s="1069" customFormat="1" ht="15.65" customHeight="1" x14ac:dyDescent="0.25">
      <c r="B100" s="1095"/>
      <c r="C100" s="1113" t="s">
        <v>295</v>
      </c>
      <c r="D100" s="1096"/>
      <c r="E100" s="1006"/>
      <c r="F100" s="1721"/>
      <c r="G100" s="430"/>
      <c r="H100" s="1802"/>
      <c r="I100" s="1004"/>
      <c r="J100" s="979"/>
      <c r="K100" s="986"/>
      <c r="L100" s="1099"/>
      <c r="M100" s="1131"/>
      <c r="N100" s="1131">
        <f>IF(E100="",0,IFERROR(AA100*AB100*AC100,'Hidden Lists and Summaries'!$C$158))</f>
        <v>0</v>
      </c>
      <c r="O100" s="1131">
        <f>IF(E100="",0,IFERROR(Y100*AA100*AC100,'Hidden Lists and Summaries'!$C$158))</f>
        <v>0</v>
      </c>
      <c r="P100" s="1132" t="s">
        <v>90</v>
      </c>
      <c r="Q100" s="1099"/>
      <c r="Y100" s="1757" t="str">
        <f>IF(I100&lt;&gt;"",I100,
IF(E100="Solid Fuel",VLOOKUP(F100,'Key Values'!$B$40:$G$58,6,FALSE),
IF(E100="Gaseous Fuel", VLOOKUP(F100,'Key Values'!$B$71:$G$88,6,FALSE),
IF(E100="Liquid Fuel", VLOOKUP(F100,'Key Values'!$B$100:$H$120,7,FALSE),
'Hidden Lists and Summaries'!$C$157))))</f>
        <v>No default, please enter a bespoke value</v>
      </c>
      <c r="Z100" s="1758" t="e">
        <f>IF(J100&lt;&gt;"",J100,IF(E100="Solid Fuel",VLOOKUP(F100,'Key Values'!$B$40:$G$58,2,FALSE),
IF(E100="Gaseous Fuel",VLOOKUP(F100,'Key Values'!$B$71:$G$88,2,FALSE),
VLOOKUP(F100,'Key Values'!$B$100:$H$120,2,FALSE))))</f>
        <v>#N/A</v>
      </c>
      <c r="AA100" s="1719" t="e" cm="1">
        <f t="array" ref="AA100">IF(J100&lt;&gt;"",J100/_xlfn.IFS('Key Values'!$B$35=E100, VLOOKUP(H100,massConv[#All], 2, FALSE),
'Key Values'!$B$36=E100, IF(VLOOKUP(F100,'Key Values'!$B$101:$H$121,3,FALSE)="GJ/t", VLOOKUP(H100,massConv[#All], 2, FALSE), VLOOKUP(H100,volConv[#All], 2, FALSE)),
'Key Values'!$B$37=E100, VLOOKUP(H100,volConv[#All], 2, FALSE)),Z100)</f>
        <v>#N/A</v>
      </c>
      <c r="AB100" s="1611" t="e" cm="1">
        <f t="array" ref="AB100">_xlfn.IFS(K100&lt;&gt;"",K100,E100="Solid Fuel", VLOOKUP(F100,'Key Values'!$B$61:$C$68,2,FALSE),
E100="Liquid fuel",VLOOKUP(F100,'Key Values'!$B$123:$C$143,2,FALSE),
E100="Gaseous Fuel", IF(VLOOKUP(F100,GasFuel[#All],7,FALSE)=TRUE,IF(F100='Key Values'!$B$77,'Hidden Lists and Summaries'!$C$157,VLOOKUP(iq_location,GaseousFuelEmbodiedEmissions[#All],IF(iq_metro="Yes",2,3),FALSE)),'Hidden Lists and Summaries'!$C$157))</f>
        <v>#N/A</v>
      </c>
      <c r="AC100" s="1611" t="e" cm="1">
        <f t="array" ref="AC100">_xlfn.IFS('Key Values'!$B$35=E100, VLOOKUP(H100,massConv[#All], 2, FALSE),
'Key Values'!$B$36=E100, IF(VLOOKUP(F100,'Key Values'!$B$101:$H$121,3,FALSE)="GJ/t", VLOOKUP(H100,massConv[#All], 2, FALSE), VLOOKUP(H100,volConv[#All], 2, FALSE)),
'Key Values'!$B$37=E100, VLOOKUP(H100,volConv[#All], 2, FALSE)) * G100</f>
        <v>#N/A</v>
      </c>
      <c r="AD100" s="1655">
        <f>F100</f>
        <v>0</v>
      </c>
      <c r="AE100" s="1584"/>
      <c r="AF100" s="1585"/>
      <c r="AG100" s="1579"/>
      <c r="AH100" s="1623"/>
      <c r="AI100" s="1584"/>
      <c r="AJ100" s="1584"/>
      <c r="AK100" s="1584"/>
      <c r="AL100" s="1584"/>
      <c r="AM100" s="1585"/>
    </row>
    <row r="101" spans="2:39" s="1069" customFormat="1" ht="15.65" customHeight="1" x14ac:dyDescent="0.25">
      <c r="B101" s="1105"/>
      <c r="C101" s="1106"/>
      <c r="D101" s="1106"/>
      <c r="E101" s="1106"/>
      <c r="F101" s="1238"/>
      <c r="G101" s="1239"/>
      <c r="H101" s="1240"/>
      <c r="I101" s="1115"/>
      <c r="J101" s="1097"/>
      <c r="K101" s="1206"/>
      <c r="L101" s="1107"/>
      <c r="M101" s="1241" t="s">
        <v>120</v>
      </c>
      <c r="N101" s="1242">
        <f>SUM(N96:N100)</f>
        <v>0</v>
      </c>
      <c r="O101" s="1145">
        <f>SUM(O96:O100)</f>
        <v>0</v>
      </c>
      <c r="P101" s="1146" t="s">
        <v>90</v>
      </c>
      <c r="Q101" s="1107"/>
      <c r="Y101" s="1623"/>
      <c r="Z101" s="1584"/>
      <c r="AA101" s="1584"/>
      <c r="AB101" s="1624"/>
      <c r="AC101" s="1584"/>
      <c r="AD101" s="1584"/>
      <c r="AE101" s="1584"/>
      <c r="AF101" s="1585"/>
      <c r="AG101" s="1579"/>
      <c r="AH101" s="1623">
        <f>N101</f>
        <v>0</v>
      </c>
      <c r="AI101" s="1584">
        <f>O101</f>
        <v>0</v>
      </c>
      <c r="AJ101" s="1584" t="str">
        <f>'Hidden Lists and Summaries'!B5</f>
        <v>Embodied (Upstream)</v>
      </c>
      <c r="AK101" s="1584" t="str">
        <f>'Hidden Lists and Summaries'!B8</f>
        <v>Fuel Combustion</v>
      </c>
      <c r="AL101" s="1584" t="s">
        <v>243</v>
      </c>
      <c r="AM101" s="1585"/>
    </row>
    <row r="102" spans="2:39" s="1069" customFormat="1" ht="15.65" customHeight="1" x14ac:dyDescent="0.25">
      <c r="B102" s="1118"/>
      <c r="C102" s="1118"/>
      <c r="D102" s="1118"/>
      <c r="E102" s="1118"/>
      <c r="F102" s="1118"/>
      <c r="G102" s="1118"/>
      <c r="H102" s="1118"/>
      <c r="I102" s="1118"/>
      <c r="J102" s="1118"/>
      <c r="K102" s="1118"/>
      <c r="L102" s="1118"/>
      <c r="M102" s="1118"/>
      <c r="N102" s="1118"/>
      <c r="O102" s="1118"/>
      <c r="P102" s="1118"/>
      <c r="Q102" s="1118"/>
      <c r="Y102" s="1623"/>
      <c r="Z102" s="1584"/>
      <c r="AA102" s="1584"/>
      <c r="AB102" s="1584"/>
      <c r="AC102" s="1584"/>
      <c r="AD102" s="1584"/>
      <c r="AE102" s="1584"/>
      <c r="AF102" s="1585"/>
      <c r="AG102" s="1579"/>
      <c r="AH102" s="1623"/>
      <c r="AI102" s="1584"/>
      <c r="AJ102" s="1584"/>
      <c r="AK102" s="1584"/>
      <c r="AL102" s="1584"/>
      <c r="AM102" s="1585"/>
    </row>
    <row r="103" spans="2:39" s="1069" customFormat="1" ht="15.65" customHeight="1" x14ac:dyDescent="0.25">
      <c r="B103" s="1081"/>
      <c r="C103" s="1082"/>
      <c r="D103" s="1082"/>
      <c r="E103" s="1082"/>
      <c r="F103" s="1082"/>
      <c r="G103" s="1082"/>
      <c r="H103" s="1082"/>
      <c r="I103" s="1082"/>
      <c r="J103" s="1082"/>
      <c r="K103" s="1082"/>
      <c r="L103" s="1082"/>
      <c r="M103" s="1082"/>
      <c r="N103" s="1082"/>
      <c r="O103" s="1082"/>
      <c r="P103" s="1082"/>
      <c r="Q103" s="1083"/>
      <c r="Y103" s="1623"/>
      <c r="Z103" s="1584"/>
      <c r="AA103" s="1584"/>
      <c r="AB103" s="1584"/>
      <c r="AC103" s="1584"/>
      <c r="AD103" s="1584"/>
      <c r="AE103" s="1584"/>
      <c r="AF103" s="1585"/>
      <c r="AG103" s="1579"/>
      <c r="AH103" s="1623"/>
      <c r="AI103" s="1584"/>
      <c r="AJ103" s="1584"/>
      <c r="AK103" s="1584"/>
      <c r="AL103" s="1584"/>
      <c r="AM103" s="1585"/>
    </row>
    <row r="104" spans="2:39" s="1069" customFormat="1" ht="15.65" customHeight="1" x14ac:dyDescent="0.25">
      <c r="B104" s="1084"/>
      <c r="C104" s="145" t="s">
        <v>1321</v>
      </c>
      <c r="D104" s="1086"/>
      <c r="E104" s="1086"/>
      <c r="F104" s="1086"/>
      <c r="G104" s="1086"/>
      <c r="H104" s="1086"/>
      <c r="I104" s="1086"/>
      <c r="J104" s="1086"/>
      <c r="K104" s="1086"/>
      <c r="L104" s="1086"/>
      <c r="M104" s="1086"/>
      <c r="N104" s="1086"/>
      <c r="O104" s="1086"/>
      <c r="P104" s="1086"/>
      <c r="Q104" s="1087"/>
      <c r="Y104" s="1623"/>
      <c r="Z104" s="1584"/>
      <c r="AA104" s="1584"/>
      <c r="AB104" s="1584"/>
      <c r="AC104" s="1584"/>
      <c r="AD104" s="1584"/>
      <c r="AE104" s="1584"/>
      <c r="AF104" s="1585"/>
      <c r="AG104" s="1579"/>
      <c r="AH104" s="1623"/>
      <c r="AI104" s="1584"/>
      <c r="AJ104" s="1584"/>
      <c r="AK104" s="1584"/>
      <c r="AL104" s="1584"/>
      <c r="AM104" s="1585"/>
    </row>
    <row r="105" spans="2:39" s="1069" customFormat="1" ht="15.65" customHeight="1" x14ac:dyDescent="0.25">
      <c r="B105" s="1089"/>
      <c r="C105" s="1090"/>
      <c r="D105" s="1090"/>
      <c r="E105" s="1091" t="s">
        <v>297</v>
      </c>
      <c r="F105" s="1091" t="s">
        <v>298</v>
      </c>
      <c r="G105" s="1111" t="s">
        <v>299</v>
      </c>
      <c r="H105" s="1111" t="s">
        <v>184</v>
      </c>
      <c r="I105" s="1111"/>
      <c r="J105" s="1093"/>
      <c r="K105" s="1093"/>
      <c r="L105" s="1093"/>
      <c r="M105" s="1093"/>
      <c r="N105" s="1093"/>
      <c r="O105" s="1091" t="s">
        <v>82</v>
      </c>
      <c r="P105" s="1093"/>
      <c r="Q105" s="1112"/>
      <c r="Y105" s="1738" t="s">
        <v>300</v>
      </c>
      <c r="Z105" s="1627" t="s">
        <v>301</v>
      </c>
      <c r="AA105" s="1627" t="s">
        <v>516</v>
      </c>
      <c r="AB105" s="1582" t="s">
        <v>94</v>
      </c>
      <c r="AC105" s="1582" t="s">
        <v>303</v>
      </c>
      <c r="AD105" s="1584"/>
      <c r="AE105" s="1584"/>
      <c r="AF105" s="1585"/>
      <c r="AG105" s="1579"/>
      <c r="AH105" s="1623"/>
      <c r="AI105" s="1584"/>
      <c r="AJ105" s="1584"/>
      <c r="AK105" s="1584"/>
      <c r="AL105" s="1584"/>
      <c r="AM105" s="1585"/>
    </row>
    <row r="106" spans="2:39" s="1069" customFormat="1" ht="15.65" customHeight="1" x14ac:dyDescent="0.25">
      <c r="B106" s="1095"/>
      <c r="C106" s="1096"/>
      <c r="D106" s="1096"/>
      <c r="E106" s="1096"/>
      <c r="F106" s="1096"/>
      <c r="G106" s="1096"/>
      <c r="H106" s="1098"/>
      <c r="I106" s="1098"/>
      <c r="J106" s="1096"/>
      <c r="K106" s="1096"/>
      <c r="L106" s="1096"/>
      <c r="M106" s="1096"/>
      <c r="N106" s="1125"/>
      <c r="O106" s="1126" t="s">
        <v>517</v>
      </c>
      <c r="P106" s="1155"/>
      <c r="Q106" s="1099"/>
      <c r="Y106" s="1759"/>
      <c r="Z106" s="1760"/>
      <c r="AA106" s="1760"/>
      <c r="AB106" s="1582" t="s">
        <v>128</v>
      </c>
      <c r="AC106" s="1582"/>
      <c r="AD106" s="1584"/>
      <c r="AE106" s="1584"/>
      <c r="AF106" s="1585"/>
      <c r="AG106" s="1579"/>
      <c r="AH106" s="1623"/>
      <c r="AI106" s="1584"/>
      <c r="AJ106" s="1584"/>
      <c r="AK106" s="1584"/>
      <c r="AL106" s="1584"/>
      <c r="AM106" s="1585"/>
    </row>
    <row r="107" spans="2:39" s="1069" customFormat="1" ht="15.65" customHeight="1" x14ac:dyDescent="0.25">
      <c r="B107" s="1095"/>
      <c r="C107" s="1113" t="s">
        <v>305</v>
      </c>
      <c r="D107" s="1096"/>
      <c r="E107" s="987"/>
      <c r="F107" s="988"/>
      <c r="G107" s="358"/>
      <c r="H107" s="397"/>
      <c r="I107" s="1098"/>
      <c r="J107" s="1096"/>
      <c r="K107" s="1096"/>
      <c r="L107" s="1096"/>
      <c r="M107" s="1096"/>
      <c r="N107" s="1130"/>
      <c r="O107" s="1131">
        <f>IF(E107="",0,IFERROR(Z107*AC107,'Hidden Lists and Summaries'!$C$158))</f>
        <v>0</v>
      </c>
      <c r="P107" s="1132" t="s">
        <v>90</v>
      </c>
      <c r="Q107" s="1099"/>
      <c r="Y107" s="1637" t="e">
        <f>VLOOKUP(F107,CO2Equivalence[],2,FALSE)</f>
        <v>#N/A</v>
      </c>
      <c r="Z107" s="1594" t="e">
        <f>AB107*Y107</f>
        <v>#N/A</v>
      </c>
      <c r="AA107" s="1761" t="e">
        <f>IF(F107='Key Values'!$B$221,VLOOKUP('Natural Gas Reforming'!E107,IndustrialProcessEmissions[],3,FALSE),VLOOKUP('Natural Gas Reforming'!E107,IndustrialProcessEmissions[],2,FALSE))</f>
        <v>#N/A</v>
      </c>
      <c r="AB107" s="1684" t="e">
        <f>VLOOKUP(H107,massConv[#All], 3, FALSE)*G107</f>
        <v>#N/A</v>
      </c>
      <c r="AC107" s="1762" t="e">
        <f t="shared" ref="AC107:AC113" si="1">AA107*iq_batchDurationYears</f>
        <v>#N/A</v>
      </c>
      <c r="AD107" s="1584"/>
      <c r="AE107" s="1584"/>
      <c r="AF107" s="1585"/>
      <c r="AG107" s="1579"/>
      <c r="AH107" s="1623"/>
      <c r="AI107" s="1584"/>
      <c r="AJ107" s="1584"/>
      <c r="AK107" s="1584"/>
      <c r="AL107" s="1584"/>
      <c r="AM107" s="1585"/>
    </row>
    <row r="108" spans="2:39" s="1069" customFormat="1" ht="15.65" customHeight="1" x14ac:dyDescent="0.25">
      <c r="B108" s="1095"/>
      <c r="C108" s="1113" t="s">
        <v>306</v>
      </c>
      <c r="D108" s="1096"/>
      <c r="E108" s="989"/>
      <c r="F108" s="990"/>
      <c r="G108" s="398"/>
      <c r="H108" s="399"/>
      <c r="I108" s="1098"/>
      <c r="J108" s="1096"/>
      <c r="K108" s="1096"/>
      <c r="L108" s="1096"/>
      <c r="M108" s="1096"/>
      <c r="N108" s="1130"/>
      <c r="O108" s="1131">
        <f>IF(E108="",0,IFERROR(Z108*AC108,'Hidden Lists and Summaries'!$C$158))</f>
        <v>0</v>
      </c>
      <c r="P108" s="1132" t="s">
        <v>90</v>
      </c>
      <c r="Q108" s="1099"/>
      <c r="Y108" s="1623" t="e">
        <f>VLOOKUP(F108,CO2Equivalence[],2,FALSE)</f>
        <v>#N/A</v>
      </c>
      <c r="Z108" s="1584" t="e">
        <f t="shared" ref="Z108:Z113" si="2">AB108*Y108</f>
        <v>#N/A</v>
      </c>
      <c r="AA108" s="1763" t="e">
        <f>IF(F108='Key Values'!$B$221,VLOOKUP('Natural Gas Reforming'!E108,IndustrialProcessEmissions[],3,FALSE),VLOOKUP('Natural Gas Reforming'!E108,IndustrialProcessEmissions[],2,FALSE))</f>
        <v>#N/A</v>
      </c>
      <c r="AB108" s="1624" t="e">
        <f>VLOOKUP(H108,massConv[#All], 3, FALSE)*G108</f>
        <v>#N/A</v>
      </c>
      <c r="AC108" s="1764" t="e">
        <f t="shared" si="1"/>
        <v>#N/A</v>
      </c>
      <c r="AD108" s="1584"/>
      <c r="AE108" s="1584"/>
      <c r="AF108" s="1585"/>
      <c r="AG108" s="1579"/>
      <c r="AH108" s="1623"/>
      <c r="AI108" s="1584"/>
      <c r="AJ108" s="1584"/>
      <c r="AK108" s="1584"/>
      <c r="AL108" s="1584"/>
      <c r="AM108" s="1585"/>
    </row>
    <row r="109" spans="2:39" s="1069" customFormat="1" ht="15.65" customHeight="1" x14ac:dyDescent="0.25">
      <c r="B109" s="1095"/>
      <c r="C109" s="1113" t="s">
        <v>307</v>
      </c>
      <c r="D109" s="1096"/>
      <c r="E109" s="989"/>
      <c r="F109" s="990"/>
      <c r="G109" s="398"/>
      <c r="H109" s="399"/>
      <c r="I109" s="1098"/>
      <c r="J109" s="1096"/>
      <c r="K109" s="1096"/>
      <c r="L109" s="1096"/>
      <c r="M109" s="1096"/>
      <c r="N109" s="1130"/>
      <c r="O109" s="1131">
        <f>IF(E109="",0,IFERROR(Z109*AC109,'Hidden Lists and Summaries'!$C$158))</f>
        <v>0</v>
      </c>
      <c r="P109" s="1132" t="s">
        <v>90</v>
      </c>
      <c r="Q109" s="1099"/>
      <c r="Y109" s="1623" t="e">
        <f>VLOOKUP(F109,CO2Equivalence[],2,FALSE)</f>
        <v>#N/A</v>
      </c>
      <c r="Z109" s="1584" t="e">
        <f t="shared" si="2"/>
        <v>#N/A</v>
      </c>
      <c r="AA109" s="1763" t="e">
        <f>IF(F109='Key Values'!$B$221,VLOOKUP('Natural Gas Reforming'!E109,IndustrialProcessEmissions[],3,FALSE),VLOOKUP('Natural Gas Reforming'!E109,IndustrialProcessEmissions[],2,FALSE))</f>
        <v>#N/A</v>
      </c>
      <c r="AB109" s="1624" t="e">
        <f>VLOOKUP(H109,massConv[#All], 3, FALSE)*G109</f>
        <v>#N/A</v>
      </c>
      <c r="AC109" s="1764" t="e">
        <f t="shared" si="1"/>
        <v>#N/A</v>
      </c>
      <c r="AD109" s="1584"/>
      <c r="AE109" s="1584"/>
      <c r="AF109" s="1585"/>
      <c r="AG109" s="1579"/>
      <c r="AH109" s="1623"/>
      <c r="AI109" s="1584"/>
      <c r="AJ109" s="1584"/>
      <c r="AK109" s="1584"/>
      <c r="AL109" s="1584"/>
      <c r="AM109" s="1585"/>
    </row>
    <row r="110" spans="2:39" s="1069" customFormat="1" x14ac:dyDescent="0.25">
      <c r="B110" s="1095"/>
      <c r="C110" s="1113" t="s">
        <v>308</v>
      </c>
      <c r="D110" s="1096"/>
      <c r="E110" s="991"/>
      <c r="F110" s="990"/>
      <c r="G110" s="398"/>
      <c r="H110" s="399"/>
      <c r="I110" s="1098"/>
      <c r="J110" s="1096"/>
      <c r="K110" s="1096"/>
      <c r="L110" s="1096"/>
      <c r="M110" s="1096"/>
      <c r="N110" s="1130"/>
      <c r="O110" s="1131">
        <f>IF(E110="",0,IFERROR(Z110*AC110,'Hidden Lists and Summaries'!$C$158))</f>
        <v>0</v>
      </c>
      <c r="P110" s="1132" t="s">
        <v>90</v>
      </c>
      <c r="Q110" s="1099"/>
      <c r="Y110" s="1623" t="e">
        <f>VLOOKUP(F110,CO2Equivalence[],2,FALSE)</f>
        <v>#N/A</v>
      </c>
      <c r="Z110" s="1584" t="e">
        <f t="shared" si="2"/>
        <v>#N/A</v>
      </c>
      <c r="AA110" s="1763" t="e">
        <f>IF(F110='Key Values'!$B$221,VLOOKUP('Natural Gas Reforming'!E110,IndustrialProcessEmissions[],3,FALSE),VLOOKUP('Natural Gas Reforming'!E110,IndustrialProcessEmissions[],2,FALSE))</f>
        <v>#N/A</v>
      </c>
      <c r="AB110" s="1624" t="e">
        <f>VLOOKUP(H110,massConv[#All], 3, FALSE)*G110</f>
        <v>#N/A</v>
      </c>
      <c r="AC110" s="1764" t="e">
        <f t="shared" si="1"/>
        <v>#N/A</v>
      </c>
      <c r="AD110" s="1584"/>
      <c r="AE110" s="1584"/>
      <c r="AF110" s="1585"/>
      <c r="AG110" s="1579"/>
      <c r="AH110" s="1623"/>
      <c r="AI110" s="1584"/>
      <c r="AJ110" s="1584"/>
      <c r="AK110" s="1584"/>
      <c r="AL110" s="1584"/>
      <c r="AM110" s="1585"/>
    </row>
    <row r="111" spans="2:39" s="1069" customFormat="1" ht="15.65" customHeight="1" x14ac:dyDescent="0.25">
      <c r="B111" s="1095"/>
      <c r="C111" s="1113" t="s">
        <v>309</v>
      </c>
      <c r="D111" s="1096"/>
      <c r="E111" s="989"/>
      <c r="F111" s="990"/>
      <c r="G111" s="398"/>
      <c r="H111" s="399"/>
      <c r="I111" s="1098"/>
      <c r="J111" s="1096"/>
      <c r="K111" s="1096"/>
      <c r="L111" s="1096"/>
      <c r="M111" s="1096"/>
      <c r="N111" s="1130"/>
      <c r="O111" s="1131">
        <f>IF(E111="",0,IFERROR(Z111*AC111,'Hidden Lists and Summaries'!$C$158))</f>
        <v>0</v>
      </c>
      <c r="P111" s="1132" t="s">
        <v>90</v>
      </c>
      <c r="Q111" s="1099"/>
      <c r="Y111" s="1623" t="e">
        <f>VLOOKUP(F111,CO2Equivalence[],2,FALSE)</f>
        <v>#N/A</v>
      </c>
      <c r="Z111" s="1584" t="e">
        <f t="shared" si="2"/>
        <v>#N/A</v>
      </c>
      <c r="AA111" s="1763" t="e">
        <f>IF(F111='Key Values'!$B$221,VLOOKUP('Natural Gas Reforming'!E111,IndustrialProcessEmissions[],3,FALSE),VLOOKUP('Natural Gas Reforming'!E111,IndustrialProcessEmissions[],2,FALSE))</f>
        <v>#N/A</v>
      </c>
      <c r="AB111" s="1624" t="e">
        <f>VLOOKUP(H111,massConv[#All], 3, FALSE)*G111</f>
        <v>#N/A</v>
      </c>
      <c r="AC111" s="1764" t="e">
        <f t="shared" si="1"/>
        <v>#N/A</v>
      </c>
      <c r="AD111" s="1584"/>
      <c r="AE111" s="1584"/>
      <c r="AF111" s="1585"/>
      <c r="AG111" s="1579"/>
      <c r="AH111" s="1623"/>
      <c r="AI111" s="1584"/>
      <c r="AJ111" s="1584"/>
      <c r="AK111" s="1584"/>
      <c r="AL111" s="1584"/>
      <c r="AM111" s="1585"/>
    </row>
    <row r="112" spans="2:39" s="1069" customFormat="1" ht="15.65" customHeight="1" x14ac:dyDescent="0.25">
      <c r="B112" s="1095"/>
      <c r="C112" s="1113" t="s">
        <v>310</v>
      </c>
      <c r="D112" s="1096"/>
      <c r="E112" s="989"/>
      <c r="F112" s="990"/>
      <c r="G112" s="398"/>
      <c r="H112" s="399"/>
      <c r="I112" s="1098"/>
      <c r="J112" s="1096"/>
      <c r="K112" s="1096"/>
      <c r="L112" s="1096"/>
      <c r="M112" s="1096"/>
      <c r="N112" s="1130"/>
      <c r="O112" s="1131">
        <f>IF(E112="",0,IFERROR(Z112*AC112,'Hidden Lists and Summaries'!$C$158))</f>
        <v>0</v>
      </c>
      <c r="P112" s="1132" t="s">
        <v>90</v>
      </c>
      <c r="Q112" s="1099"/>
      <c r="Y112" s="1623" t="e">
        <f>VLOOKUP(F112,CO2Equivalence[],2,FALSE)</f>
        <v>#N/A</v>
      </c>
      <c r="Z112" s="1584" t="e">
        <f t="shared" si="2"/>
        <v>#N/A</v>
      </c>
      <c r="AA112" s="1763" t="e">
        <f>IF(F112='Key Values'!$B$221,VLOOKUP('Natural Gas Reforming'!E112,IndustrialProcessEmissions[],3,FALSE),VLOOKUP('Natural Gas Reforming'!E112,IndustrialProcessEmissions[],2,FALSE))</f>
        <v>#N/A</v>
      </c>
      <c r="AB112" s="1624" t="e">
        <f>VLOOKUP(H112,massConv[#All], 3, FALSE)*G112</f>
        <v>#N/A</v>
      </c>
      <c r="AC112" s="1764" t="e">
        <f t="shared" si="1"/>
        <v>#N/A</v>
      </c>
      <c r="AD112" s="1584"/>
      <c r="AE112" s="1584"/>
      <c r="AF112" s="1585"/>
      <c r="AG112" s="1579"/>
      <c r="AH112" s="1623"/>
      <c r="AI112" s="1584"/>
      <c r="AJ112" s="1584"/>
      <c r="AK112" s="1584"/>
      <c r="AL112" s="1584"/>
      <c r="AM112" s="1585"/>
    </row>
    <row r="113" spans="1:39" s="1069" customFormat="1" ht="15.65" customHeight="1" x14ac:dyDescent="0.25">
      <c r="B113" s="1095"/>
      <c r="C113" s="1113" t="s">
        <v>311</v>
      </c>
      <c r="D113" s="1096"/>
      <c r="E113" s="992"/>
      <c r="F113" s="993"/>
      <c r="G113" s="359"/>
      <c r="H113" s="400"/>
      <c r="I113" s="1098"/>
      <c r="J113" s="1096"/>
      <c r="K113" s="1096"/>
      <c r="L113" s="1096"/>
      <c r="M113" s="1096"/>
      <c r="N113" s="1130"/>
      <c r="O113" s="1139">
        <f>IF(E113="",0,IFERROR(Z113*AC113,'Hidden Lists and Summaries'!$C$158))</f>
        <v>0</v>
      </c>
      <c r="P113" s="1132" t="s">
        <v>90</v>
      </c>
      <c r="Q113" s="1099"/>
      <c r="Y113" s="1653" t="e">
        <f>VLOOKUP(F113,CO2Equivalence[],2,FALSE)</f>
        <v>#N/A</v>
      </c>
      <c r="Z113" s="1610" t="e">
        <f t="shared" si="2"/>
        <v>#N/A</v>
      </c>
      <c r="AA113" s="1765" t="e">
        <f>IF(F113='Key Values'!$B$221,VLOOKUP('Natural Gas Reforming'!E113,IndustrialProcessEmissions[],3,FALSE),VLOOKUP('Natural Gas Reforming'!E113,IndustrialProcessEmissions[],2,FALSE))</f>
        <v>#N/A</v>
      </c>
      <c r="AB113" s="1688" t="e">
        <f>VLOOKUP(H113,massConv[#All], 3, FALSE)*G113</f>
        <v>#N/A</v>
      </c>
      <c r="AC113" s="1766" t="e">
        <f t="shared" si="1"/>
        <v>#N/A</v>
      </c>
      <c r="AD113" s="1584"/>
      <c r="AE113" s="1584"/>
      <c r="AF113" s="1585"/>
      <c r="AG113" s="1579"/>
      <c r="AH113" s="1623"/>
      <c r="AI113" s="1584"/>
      <c r="AJ113" s="1584"/>
      <c r="AK113" s="1584"/>
      <c r="AL113" s="1584"/>
      <c r="AM113" s="1585"/>
    </row>
    <row r="114" spans="1:39" s="1069" customFormat="1" x14ac:dyDescent="0.25">
      <c r="B114" s="1105"/>
      <c r="C114" s="1106"/>
      <c r="D114" s="1106"/>
      <c r="E114" s="1106"/>
      <c r="F114" s="1106"/>
      <c r="G114" s="1106"/>
      <c r="H114" s="1115"/>
      <c r="I114" s="1115"/>
      <c r="J114" s="1106"/>
      <c r="K114" s="1106"/>
      <c r="L114" s="1106"/>
      <c r="M114" s="1106"/>
      <c r="N114" s="1144" t="s">
        <v>120</v>
      </c>
      <c r="O114" s="1145">
        <f>SUM(O107:O113)</f>
        <v>0</v>
      </c>
      <c r="P114" s="1146" t="s">
        <v>90</v>
      </c>
      <c r="Q114" s="1107"/>
      <c r="Y114" s="1623"/>
      <c r="Z114" s="1584"/>
      <c r="AA114" s="1584"/>
      <c r="AB114" s="1584"/>
      <c r="AC114" s="1584"/>
      <c r="AD114" s="1584"/>
      <c r="AE114" s="1584"/>
      <c r="AF114" s="1585"/>
      <c r="AG114" s="1579"/>
      <c r="AH114" s="1623"/>
      <c r="AI114" s="1584">
        <f>O114</f>
        <v>0</v>
      </c>
      <c r="AJ114" s="1584"/>
      <c r="AK114" s="1584" t="str">
        <f>'Hidden Lists and Summaries'!B9</f>
        <v>Industrial Process</v>
      </c>
      <c r="AL114" s="1584"/>
      <c r="AM114" s="1585"/>
    </row>
    <row r="115" spans="1:39" s="1069" customFormat="1" ht="15.65" customHeight="1" x14ac:dyDescent="0.25">
      <c r="B115" s="1118"/>
      <c r="C115" s="1118"/>
      <c r="D115" s="1118"/>
      <c r="E115" s="1118"/>
      <c r="F115" s="1118"/>
      <c r="G115" s="1118"/>
      <c r="H115" s="1118"/>
      <c r="I115" s="1118"/>
      <c r="J115" s="1118"/>
      <c r="K115" s="1118"/>
      <c r="L115" s="1118"/>
      <c r="M115" s="1118"/>
      <c r="N115" s="1118"/>
      <c r="O115" s="1118"/>
      <c r="P115" s="1118"/>
      <c r="Q115" s="1118"/>
      <c r="Y115" s="1623"/>
      <c r="Z115" s="1584"/>
      <c r="AA115" s="1584"/>
      <c r="AB115" s="1584"/>
      <c r="AC115" s="1584"/>
      <c r="AD115" s="1584"/>
      <c r="AE115" s="1584"/>
      <c r="AF115" s="1585"/>
      <c r="AG115" s="1579"/>
      <c r="AH115" s="1623"/>
      <c r="AI115" s="1584"/>
      <c r="AJ115" s="1584"/>
      <c r="AK115" s="1584"/>
      <c r="AL115" s="1584"/>
      <c r="AM115" s="1585"/>
    </row>
    <row r="116" spans="1:39" s="1069" customFormat="1" ht="15.65" customHeight="1" x14ac:dyDescent="0.25">
      <c r="A116" s="1164"/>
      <c r="B116" s="1081"/>
      <c r="C116" s="1082"/>
      <c r="D116" s="1082"/>
      <c r="E116" s="1082"/>
      <c r="F116" s="1150" t="s">
        <v>518</v>
      </c>
      <c r="G116" s="1082"/>
      <c r="H116" s="1082"/>
      <c r="I116" s="1082"/>
      <c r="J116" s="1082"/>
      <c r="K116" s="1082"/>
      <c r="L116" s="1082"/>
      <c r="M116" s="1082"/>
      <c r="N116" s="1082"/>
      <c r="O116" s="1082"/>
      <c r="P116" s="1082"/>
      <c r="Q116" s="1083"/>
      <c r="Y116" s="1623"/>
      <c r="Z116" s="1584"/>
      <c r="AA116" s="1584"/>
      <c r="AB116" s="1584"/>
      <c r="AC116" s="1584"/>
      <c r="AD116" s="1584"/>
      <c r="AE116" s="1584"/>
      <c r="AF116" s="1585"/>
      <c r="AG116" s="1579"/>
      <c r="AH116" s="1623"/>
      <c r="AI116" s="1584"/>
      <c r="AJ116" s="1584"/>
      <c r="AK116" s="1584"/>
      <c r="AL116" s="1584"/>
      <c r="AM116" s="1585"/>
    </row>
    <row r="117" spans="1:39" s="1069" customFormat="1" ht="15.65" customHeight="1" x14ac:dyDescent="0.25">
      <c r="A117" s="1164"/>
      <c r="B117" s="1084"/>
      <c r="C117" s="1198" t="s">
        <v>519</v>
      </c>
      <c r="D117" s="1151"/>
      <c r="E117" s="1151"/>
      <c r="F117" s="1251"/>
      <c r="G117" s="1151"/>
      <c r="H117" s="1252"/>
      <c r="I117" s="1151"/>
      <c r="J117" s="1152"/>
      <c r="K117" s="1151"/>
      <c r="L117" s="1151"/>
      <c r="M117" s="1151"/>
      <c r="N117" s="1151"/>
      <c r="O117" s="1151"/>
      <c r="P117" s="1151"/>
      <c r="Q117" s="1087"/>
      <c r="Y117" s="1725" t="s">
        <v>520</v>
      </c>
      <c r="Z117" s="1582" t="s">
        <v>521</v>
      </c>
      <c r="AA117" s="1582" t="s">
        <v>522</v>
      </c>
      <c r="AB117" s="1582" t="s">
        <v>523</v>
      </c>
      <c r="AC117" s="1582" t="s">
        <v>524</v>
      </c>
      <c r="AD117" s="1584"/>
      <c r="AE117" s="1584"/>
      <c r="AF117" s="1585"/>
      <c r="AG117" s="1579"/>
      <c r="AH117" s="1623"/>
      <c r="AI117" s="1584"/>
      <c r="AJ117" s="1584"/>
      <c r="AK117" s="1584"/>
      <c r="AL117" s="1584"/>
      <c r="AM117" s="1585"/>
    </row>
    <row r="118" spans="1:39" s="1069" customFormat="1" ht="31" x14ac:dyDescent="0.35">
      <c r="A118" s="1164"/>
      <c r="B118" s="1089"/>
      <c r="C118" s="1090"/>
      <c r="D118" s="1090"/>
      <c r="E118" s="1091" t="s">
        <v>525</v>
      </c>
      <c r="F118" s="1201" t="s">
        <v>526</v>
      </c>
      <c r="G118" s="1091" t="s">
        <v>184</v>
      </c>
      <c r="H118" s="1253" t="s">
        <v>527</v>
      </c>
      <c r="I118" s="1091" t="s">
        <v>528</v>
      </c>
      <c r="J118" s="1254" t="s">
        <v>529</v>
      </c>
      <c r="K118" s="1119" t="s">
        <v>530</v>
      </c>
      <c r="L118" s="1255"/>
      <c r="M118" s="1255"/>
      <c r="N118" s="1093"/>
      <c r="O118" s="1091"/>
      <c r="P118" s="1093"/>
      <c r="Q118" s="1112"/>
      <c r="Y118" s="1725" t="s">
        <v>212</v>
      </c>
      <c r="Z118" s="1582" t="s">
        <v>212</v>
      </c>
      <c r="AA118" s="1582" t="s">
        <v>128</v>
      </c>
      <c r="AB118" s="1582" t="s">
        <v>531</v>
      </c>
      <c r="AC118" s="1582"/>
      <c r="AD118" s="1584"/>
      <c r="AE118" s="1584"/>
      <c r="AF118" s="1585"/>
      <c r="AG118" s="1579"/>
      <c r="AH118" s="1623"/>
      <c r="AI118" s="1584"/>
      <c r="AJ118" s="1584"/>
      <c r="AK118" s="1584"/>
      <c r="AL118" s="1584"/>
      <c r="AM118" s="1585"/>
    </row>
    <row r="119" spans="1:39" s="1069" customFormat="1" ht="15.65" customHeight="1" x14ac:dyDescent="0.25">
      <c r="A119" s="1164"/>
      <c r="B119" s="1158"/>
      <c r="C119" s="1220"/>
      <c r="D119" s="1220"/>
      <c r="E119" s="1220"/>
      <c r="F119" s="1220"/>
      <c r="G119" s="1220"/>
      <c r="H119" s="1220"/>
      <c r="I119" s="1220"/>
      <c r="J119" s="1129"/>
      <c r="K119" s="1129"/>
      <c r="L119" s="1129"/>
      <c r="M119" s="1129"/>
      <c r="N119" s="1220"/>
      <c r="O119" s="1220"/>
      <c r="P119" s="1220"/>
      <c r="Q119" s="1221"/>
      <c r="Y119" s="1637"/>
      <c r="Z119" s="1594"/>
      <c r="AA119" s="1594"/>
      <c r="AB119" s="1594"/>
      <c r="AC119" s="1639"/>
      <c r="AD119" s="1584"/>
      <c r="AE119" s="1584"/>
      <c r="AF119" s="1585"/>
      <c r="AG119" s="1579"/>
      <c r="AH119" s="1623"/>
      <c r="AI119" s="1584"/>
      <c r="AJ119" s="1584"/>
      <c r="AK119" s="1584"/>
      <c r="AL119" s="1584"/>
      <c r="AM119" s="1585"/>
    </row>
    <row r="120" spans="1:39" s="1069" customFormat="1" ht="15.65" customHeight="1" x14ac:dyDescent="0.25">
      <c r="A120" s="1164"/>
      <c r="B120" s="1158"/>
      <c r="C120" s="1220" t="s">
        <v>532</v>
      </c>
      <c r="D120" s="1220"/>
      <c r="E120" s="1693" t="s">
        <v>533</v>
      </c>
      <c r="F120" s="418"/>
      <c r="G120" s="418"/>
      <c r="H120" s="418"/>
      <c r="I120" s="418"/>
      <c r="J120" s="432"/>
      <c r="K120" s="489"/>
      <c r="L120" s="1256"/>
      <c r="M120" s="1256"/>
      <c r="N120" s="1220"/>
      <c r="O120" s="1220"/>
      <c r="P120" s="1220"/>
      <c r="Q120" s="1221"/>
      <c r="Y120" s="1653" t="e">
        <f>IF(F120&lt;&gt;"",F120*VLOOKUP(G120,volConv[#All],2,FALSE),VLOOKUP(E120,Table5[#All],2,FALSE)*reforming_hydrogenProductionQuantity*1000)</f>
        <v>#N/A</v>
      </c>
      <c r="Z120" s="1610" t="e">
        <f>Y120*(1-AC120)</f>
        <v>#N/A</v>
      </c>
      <c r="AA120" s="1767" t="e">
        <f>IF(H120&lt;&gt;"",H120*VLOOKUP(I120,massConv[#All],3,FALSE),reforming_hydrogenProductionQuantity*1000*AC120*AB120)</f>
        <v>#N/A</v>
      </c>
      <c r="AB120" s="1610">
        <f>VLOOKUP(E120,Table12[#All],3,FALSE)</f>
        <v>0</v>
      </c>
      <c r="AC120" s="1655">
        <f>IF(E120='Key Values'!$B$271, 0, K120)</f>
        <v>0</v>
      </c>
      <c r="AD120" s="1584"/>
      <c r="AE120" s="1584"/>
      <c r="AF120" s="1585"/>
      <c r="AG120" s="1579"/>
      <c r="AH120" s="1623"/>
      <c r="AI120" s="1584"/>
      <c r="AJ120" s="1584"/>
      <c r="AK120" s="1584"/>
      <c r="AL120" s="1584"/>
      <c r="AM120" s="1585"/>
    </row>
    <row r="121" spans="1:39" s="1069" customFormat="1" ht="15.65" customHeight="1" x14ac:dyDescent="0.25">
      <c r="A121" s="1164"/>
      <c r="B121" s="1223"/>
      <c r="C121" s="1161"/>
      <c r="D121" s="1161"/>
      <c r="E121" s="1161"/>
      <c r="F121" s="1161"/>
      <c r="G121" s="1161"/>
      <c r="H121" s="1161"/>
      <c r="I121" s="1161"/>
      <c r="J121" s="1161"/>
      <c r="K121" s="1161"/>
      <c r="L121" s="1161"/>
      <c r="M121" s="1161"/>
      <c r="N121" s="1161"/>
      <c r="O121" s="1161"/>
      <c r="P121" s="1161"/>
      <c r="Q121" s="1227"/>
      <c r="Y121" s="1623"/>
      <c r="Z121" s="1584"/>
      <c r="AA121" s="1584"/>
      <c r="AB121" s="1584"/>
      <c r="AC121" s="1584"/>
      <c r="AD121" s="1584"/>
      <c r="AE121" s="1584"/>
      <c r="AF121" s="1585"/>
      <c r="AG121" s="1579"/>
      <c r="AH121" s="1623"/>
      <c r="AI121" s="1584"/>
      <c r="AJ121" s="1584"/>
      <c r="AK121" s="1584"/>
      <c r="AL121" s="1584"/>
      <c r="AM121" s="1585"/>
    </row>
    <row r="122" spans="1:39" s="1069" customFormat="1" ht="15.65" customHeight="1" x14ac:dyDescent="0.25">
      <c r="A122" s="1164"/>
      <c r="B122" s="1118"/>
      <c r="C122" s="1118"/>
      <c r="D122" s="1118"/>
      <c r="E122" s="1118"/>
      <c r="F122" s="1118"/>
      <c r="G122" s="1118"/>
      <c r="H122" s="1118"/>
      <c r="I122" s="1118"/>
      <c r="J122" s="1118"/>
      <c r="K122" s="1118"/>
      <c r="L122" s="1118"/>
      <c r="M122" s="1118"/>
      <c r="N122" s="1118"/>
      <c r="O122" s="1118"/>
      <c r="P122" s="1118"/>
      <c r="Q122" s="1118"/>
      <c r="Y122" s="1623"/>
      <c r="Z122" s="1584"/>
      <c r="AA122" s="1584"/>
      <c r="AB122" s="1584"/>
      <c r="AC122" s="1584"/>
      <c r="AD122" s="1584"/>
      <c r="AE122" s="1584"/>
      <c r="AF122" s="1585"/>
      <c r="AG122" s="1579"/>
      <c r="AH122" s="1623"/>
      <c r="AI122" s="1584"/>
      <c r="AJ122" s="1584"/>
      <c r="AK122" s="1584"/>
      <c r="AL122" s="1584"/>
      <c r="AM122" s="1585"/>
    </row>
    <row r="123" spans="1:39" s="1069" customFormat="1" ht="15.65" customHeight="1" x14ac:dyDescent="0.25">
      <c r="A123" s="1164"/>
      <c r="B123" s="1081"/>
      <c r="C123" s="1082"/>
      <c r="D123" s="1082"/>
      <c r="E123" s="1082"/>
      <c r="F123" s="1150" t="s">
        <v>534</v>
      </c>
      <c r="G123" s="1082"/>
      <c r="H123" s="1082"/>
      <c r="I123" s="1082"/>
      <c r="J123" s="1082"/>
      <c r="K123" s="1082"/>
      <c r="L123" s="1082"/>
      <c r="M123" s="1082"/>
      <c r="N123" s="1082"/>
      <c r="O123" s="1082"/>
      <c r="P123" s="1082"/>
      <c r="Q123" s="1083"/>
      <c r="Y123" s="1623"/>
      <c r="Z123" s="1584"/>
      <c r="AA123" s="1584"/>
      <c r="AB123" s="1584"/>
      <c r="AC123" s="1584"/>
      <c r="AD123" s="1584"/>
      <c r="AE123" s="1584"/>
      <c r="AF123" s="1585"/>
      <c r="AG123" s="1579"/>
      <c r="AH123" s="1623"/>
      <c r="AI123" s="1584"/>
      <c r="AJ123" s="1584"/>
      <c r="AK123" s="1584"/>
      <c r="AL123" s="1584"/>
      <c r="AM123" s="1585"/>
    </row>
    <row r="124" spans="1:39" s="1069" customFormat="1" ht="15.65" customHeight="1" x14ac:dyDescent="0.25">
      <c r="A124" s="1164"/>
      <c r="B124" s="1084"/>
      <c r="C124" s="1109" t="s">
        <v>535</v>
      </c>
      <c r="D124" s="1086"/>
      <c r="E124" s="1257"/>
      <c r="F124" s="1152"/>
      <c r="G124" s="1086"/>
      <c r="H124" s="1152"/>
      <c r="I124" s="1086"/>
      <c r="J124" s="1086"/>
      <c r="K124" s="1086"/>
      <c r="L124" s="1086"/>
      <c r="M124" s="1086"/>
      <c r="N124" s="1086"/>
      <c r="O124" s="1086"/>
      <c r="P124" s="1086"/>
      <c r="Q124" s="1087"/>
      <c r="Y124" s="1623"/>
      <c r="Z124" s="1584"/>
      <c r="AA124" s="1584"/>
      <c r="AB124" s="1584"/>
      <c r="AC124" s="1584"/>
      <c r="AD124" s="1584"/>
      <c r="AE124" s="1584"/>
      <c r="AF124" s="1585"/>
      <c r="AG124" s="1579"/>
      <c r="AH124" s="1623"/>
      <c r="AI124" s="1584"/>
      <c r="AJ124" s="1584"/>
      <c r="AK124" s="1584"/>
      <c r="AL124" s="1584"/>
      <c r="AM124" s="1585"/>
    </row>
    <row r="125" spans="1:39" s="1069" customFormat="1" ht="31" x14ac:dyDescent="0.25">
      <c r="A125" s="1164"/>
      <c r="B125" s="1089"/>
      <c r="C125" s="1090"/>
      <c r="D125" s="1090"/>
      <c r="E125" s="1119" t="s">
        <v>536</v>
      </c>
      <c r="F125" s="1092"/>
      <c r="G125" s="1091"/>
      <c r="H125" s="1092"/>
      <c r="I125" s="1111"/>
      <c r="J125" s="1093"/>
      <c r="K125" s="1093"/>
      <c r="L125" s="1093"/>
      <c r="M125" s="1093"/>
      <c r="N125" s="1093"/>
      <c r="O125" s="1091" t="s">
        <v>82</v>
      </c>
      <c r="P125" s="1093"/>
      <c r="Q125" s="1112"/>
      <c r="Y125" s="1738" t="s">
        <v>1333</v>
      </c>
      <c r="Z125" s="1627" t="s">
        <v>537</v>
      </c>
      <c r="AA125" s="1582" t="s">
        <v>538</v>
      </c>
      <c r="AB125" s="1582" t="s">
        <v>300</v>
      </c>
      <c r="AC125" s="1582" t="s">
        <v>539</v>
      </c>
      <c r="AD125" s="1627" t="s">
        <v>540</v>
      </c>
      <c r="AE125" s="1582" t="s">
        <v>541</v>
      </c>
      <c r="AF125" s="1731" t="s">
        <v>542</v>
      </c>
      <c r="AG125" s="1579"/>
      <c r="AH125" s="1623"/>
      <c r="AI125" s="1584"/>
      <c r="AJ125" s="1584"/>
      <c r="AK125" s="1584"/>
      <c r="AL125" s="1584"/>
      <c r="AM125" s="1585"/>
    </row>
    <row r="126" spans="1:39" s="1069" customFormat="1" ht="15.65" customHeight="1" x14ac:dyDescent="0.25">
      <c r="A126" s="1164"/>
      <c r="B126" s="1095"/>
      <c r="C126" s="1096"/>
      <c r="D126" s="1096"/>
      <c r="E126" s="1098"/>
      <c r="F126" s="1098"/>
      <c r="G126" s="1113"/>
      <c r="H126" s="1098"/>
      <c r="I126" s="1098"/>
      <c r="J126" s="1096"/>
      <c r="K126" s="1096"/>
      <c r="L126" s="1096"/>
      <c r="M126" s="1096"/>
      <c r="N126" s="1125"/>
      <c r="O126" s="1126" t="s">
        <v>543</v>
      </c>
      <c r="P126" s="1155"/>
      <c r="Q126" s="1099"/>
      <c r="Y126" s="1759"/>
      <c r="Z126" s="1760" t="s">
        <v>544</v>
      </c>
      <c r="AA126" s="1582" t="s">
        <v>212</v>
      </c>
      <c r="AB126" s="1726"/>
      <c r="AC126" s="1582" t="s">
        <v>545</v>
      </c>
      <c r="AD126" s="1628" t="s">
        <v>546</v>
      </c>
      <c r="AE126" s="1582" t="s">
        <v>128</v>
      </c>
      <c r="AF126" s="1727"/>
      <c r="AG126" s="1579"/>
      <c r="AH126" s="1623"/>
      <c r="AI126" s="1584"/>
      <c r="AJ126" s="1584"/>
      <c r="AK126" s="1584"/>
      <c r="AL126" s="1584"/>
      <c r="AM126" s="1585"/>
    </row>
    <row r="127" spans="1:39" s="1069" customFormat="1" ht="15.65" customHeight="1" x14ac:dyDescent="0.25">
      <c r="A127" s="1164"/>
      <c r="B127" s="1095"/>
      <c r="C127" s="1113" t="s">
        <v>547</v>
      </c>
      <c r="D127" s="1096"/>
      <c r="E127" s="500"/>
      <c r="F127" s="1098"/>
      <c r="G127" s="1188"/>
      <c r="H127" s="1098"/>
      <c r="I127" s="1098"/>
      <c r="J127" s="1096"/>
      <c r="K127" s="1096"/>
      <c r="L127" s="1096"/>
      <c r="M127" s="1096"/>
      <c r="N127" s="1130"/>
      <c r="O127" s="1131" t="e">
        <f>IF(_xlfn.SINGLE(reforming_hydrogenProductionQuantity)="",0,IFERROR(AB127*AA127*Y127*Z127/AC127,'Hidden Lists and Summaries'!$C$158))</f>
        <v>#N/A</v>
      </c>
      <c r="P127" s="1132" t="s">
        <v>90</v>
      </c>
      <c r="Q127" s="1099"/>
      <c r="Y127" s="1682">
        <f>IF(E127&lt;&gt;"",E127,VLOOKUP($E$120,Table5[#All],3,FALSE))</f>
        <v>0.15694612195743199</v>
      </c>
      <c r="Z127" s="1594">
        <f>VLOOKUP(E120,Table5[#All],4,FALSE)</f>
        <v>44.01</v>
      </c>
      <c r="AA127" s="1684" t="e">
        <f>$Z$120</f>
        <v>#N/A</v>
      </c>
      <c r="AB127" s="1594">
        <f>VLOOKUP(AF127,Table14[#All],2,FALSE)</f>
        <v>1</v>
      </c>
      <c r="AC127" s="1768" cm="1">
        <f t="array" ref="AC127">Table7[Value]</f>
        <v>23.684999999999999</v>
      </c>
      <c r="AD127" s="1594"/>
      <c r="AE127" s="1594"/>
      <c r="AF127" s="1639" t="s">
        <v>548</v>
      </c>
      <c r="AG127" s="1579"/>
      <c r="AH127" s="1623"/>
      <c r="AI127" s="1584"/>
      <c r="AJ127" s="1584"/>
      <c r="AK127" s="1584"/>
      <c r="AL127" s="1584"/>
      <c r="AM127" s="1585"/>
    </row>
    <row r="128" spans="1:39" s="1069" customFormat="1" ht="15.65" customHeight="1" x14ac:dyDescent="0.25">
      <c r="A128" s="1164"/>
      <c r="B128" s="1095"/>
      <c r="C128" s="1113" t="s">
        <v>549</v>
      </c>
      <c r="D128" s="1096"/>
      <c r="E128" s="501"/>
      <c r="F128" s="1098"/>
      <c r="G128" s="1258"/>
      <c r="H128" s="1098"/>
      <c r="I128" s="1098"/>
      <c r="J128" s="1096"/>
      <c r="K128" s="1096"/>
      <c r="L128" s="1096"/>
      <c r="M128" s="1096"/>
      <c r="N128" s="1130"/>
      <c r="O128" s="1131" t="e">
        <f>IF(reforming_hydrogenProductionQuantity="",0,IFERROR(AB128*AA128*Y128*Z128/AC128,'Hidden Lists and Summaries'!$C$158))</f>
        <v>#N/A</v>
      </c>
      <c r="P128" s="1132" t="s">
        <v>90</v>
      </c>
      <c r="Q128" s="1099"/>
      <c r="Y128" s="1685">
        <f>IF(E128&lt;&gt;"",E128,VLOOKUP($E$120,Table5[#All],5,FALSE))</f>
        <v>1.3150352529964701E-4</v>
      </c>
      <c r="Z128" s="1584">
        <f>VLOOKUP($E$120,Table5[#All],6,FALSE)</f>
        <v>16.042999999999999</v>
      </c>
      <c r="AA128" s="1624" t="e">
        <f>$Z$120</f>
        <v>#N/A</v>
      </c>
      <c r="AB128" s="1584">
        <f>VLOOKUP(AF128,Table14[#All],2,FALSE)</f>
        <v>28</v>
      </c>
      <c r="AC128" s="1769" cm="1">
        <f t="array" ref="AC128">Table7[Value]</f>
        <v>23.684999999999999</v>
      </c>
      <c r="AD128" s="1584"/>
      <c r="AE128" s="1584"/>
      <c r="AF128" s="1585" t="s">
        <v>550</v>
      </c>
      <c r="AG128" s="1579"/>
      <c r="AH128" s="1623"/>
      <c r="AI128" s="1584"/>
      <c r="AJ128" s="1584"/>
      <c r="AK128" s="1584"/>
      <c r="AL128" s="1584"/>
      <c r="AM128" s="1585"/>
    </row>
    <row r="129" spans="1:39" s="1069" customFormat="1" ht="15.65" customHeight="1" x14ac:dyDescent="0.25">
      <c r="A129" s="1164"/>
      <c r="B129" s="1095"/>
      <c r="C129" s="1113" t="s">
        <v>551</v>
      </c>
      <c r="D129" s="1096"/>
      <c r="E129" s="502"/>
      <c r="F129" s="1098"/>
      <c r="G129" s="1258"/>
      <c r="H129" s="1098"/>
      <c r="I129" s="1098"/>
      <c r="J129" s="1096"/>
      <c r="K129" s="1096"/>
      <c r="L129" s="1096"/>
      <c r="M129" s="1096"/>
      <c r="N129" s="1130"/>
      <c r="O129" s="1131" t="e">
        <f>IF(reforming_hydrogenProductionQuantity="",0,IFERROR(AB129*AA129*Y129*Z129/AC129,'Hidden Lists and Summaries'!$C$158))</f>
        <v>#N/A</v>
      </c>
      <c r="P129" s="1132" t="s">
        <v>90</v>
      </c>
      <c r="Q129" s="1099"/>
      <c r="Y129" s="1685">
        <f>IF(E129&lt;&gt;"",E129,VLOOKUP($E$120,Table5[#All],7,FALSE))</f>
        <v>0</v>
      </c>
      <c r="Z129" s="1584">
        <f>VLOOKUP($E$120,Table5[#All],8,FALSE)</f>
        <v>44.012500000000003</v>
      </c>
      <c r="AA129" s="1624" t="e">
        <f>$Z$120</f>
        <v>#N/A</v>
      </c>
      <c r="AB129" s="1584">
        <f>VLOOKUP(AF129,Table14[#All],2,FALSE)</f>
        <v>265</v>
      </c>
      <c r="AC129" s="1769" cm="1">
        <f t="array" ref="AC129">Table7[Value]</f>
        <v>23.684999999999999</v>
      </c>
      <c r="AD129" s="1584"/>
      <c r="AE129" s="1584"/>
      <c r="AF129" s="1585" t="s">
        <v>552</v>
      </c>
      <c r="AG129" s="1579"/>
      <c r="AH129" s="1623"/>
      <c r="AI129" s="1584"/>
      <c r="AJ129" s="1584"/>
      <c r="AK129" s="1584"/>
      <c r="AL129" s="1584"/>
      <c r="AM129" s="1585"/>
    </row>
    <row r="130" spans="1:39" s="1069" customFormat="1" ht="15.65" customHeight="1" x14ac:dyDescent="0.25">
      <c r="A130" s="1164"/>
      <c r="B130" s="1095"/>
      <c r="C130" s="1259" t="s">
        <v>553</v>
      </c>
      <c r="D130" s="1096"/>
      <c r="E130" s="1220"/>
      <c r="F130" s="1098"/>
      <c r="G130" s="1220"/>
      <c r="H130" s="1098"/>
      <c r="I130" s="1098"/>
      <c r="J130" s="1096"/>
      <c r="K130" s="1096"/>
      <c r="L130" s="1096"/>
      <c r="M130" s="1096"/>
      <c r="N130" s="1130"/>
      <c r="O130" s="1131" t="e">
        <f>IF(reforming_hydrogenProductionQuantity="",0,IFERROR(AD130*AE130,'Hidden Lists and Summaries'!$C$158))</f>
        <v>#N/A</v>
      </c>
      <c r="P130" s="1132" t="s">
        <v>90</v>
      </c>
      <c r="Q130" s="1099"/>
      <c r="Y130" s="1770"/>
      <c r="Z130" s="1610"/>
      <c r="AA130" s="1688"/>
      <c r="AB130" s="1610"/>
      <c r="AC130" s="1610"/>
      <c r="AD130" s="1610">
        <f>IF(J120&lt;&gt;"",J120,VLOOKUP($E$120,Table12[#All],2,FALSE))</f>
        <v>0</v>
      </c>
      <c r="AE130" s="1610" t="e">
        <f>AA120</f>
        <v>#N/A</v>
      </c>
      <c r="AF130" s="1655"/>
      <c r="AG130" s="1579"/>
      <c r="AH130" s="1623"/>
      <c r="AI130" s="1584"/>
      <c r="AJ130" s="1584"/>
      <c r="AK130" s="1584"/>
      <c r="AL130" s="1584"/>
      <c r="AM130" s="1585"/>
    </row>
    <row r="131" spans="1:39" s="1069" customFormat="1" ht="15.65" customHeight="1" x14ac:dyDescent="0.25">
      <c r="A131" s="1164"/>
      <c r="B131" s="1105"/>
      <c r="C131" s="1106"/>
      <c r="D131" s="1106"/>
      <c r="E131" s="1106"/>
      <c r="F131" s="1106"/>
      <c r="G131" s="1106"/>
      <c r="H131" s="1115"/>
      <c r="I131" s="1115"/>
      <c r="J131" s="1106"/>
      <c r="K131" s="1106"/>
      <c r="L131" s="1106"/>
      <c r="M131" s="1106"/>
      <c r="N131" s="1144" t="s">
        <v>120</v>
      </c>
      <c r="O131" s="1145" t="e">
        <f>SUM(O127:O130)</f>
        <v>#N/A</v>
      </c>
      <c r="P131" s="1146" t="s">
        <v>90</v>
      </c>
      <c r="Q131" s="1107"/>
      <c r="Y131" s="1623"/>
      <c r="Z131" s="1584"/>
      <c r="AA131" s="1584"/>
      <c r="AB131" s="1584"/>
      <c r="AC131" s="1584"/>
      <c r="AD131" s="1584"/>
      <c r="AE131" s="1584"/>
      <c r="AF131" s="1585"/>
      <c r="AG131" s="1579"/>
      <c r="AH131" s="1623"/>
      <c r="AI131" s="1584" t="e">
        <f>O131</f>
        <v>#N/A</v>
      </c>
      <c r="AJ131" s="1584"/>
      <c r="AK131" s="1584" t="str">
        <f>'Hidden Lists and Summaries'!B11</f>
        <v>Fugitive</v>
      </c>
      <c r="AL131" s="1584"/>
      <c r="AM131" s="1585"/>
    </row>
    <row r="132" spans="1:39" s="1069" customFormat="1" ht="15.65" customHeight="1" x14ac:dyDescent="0.25">
      <c r="B132" s="1118"/>
      <c r="C132" s="1118"/>
      <c r="D132" s="1118"/>
      <c r="E132" s="1118"/>
      <c r="F132" s="1118"/>
      <c r="G132" s="1118"/>
      <c r="H132" s="1118"/>
      <c r="I132" s="1118"/>
      <c r="J132" s="1118"/>
      <c r="K132" s="1118"/>
      <c r="L132" s="1118"/>
      <c r="M132" s="1118"/>
      <c r="N132" s="1118"/>
      <c r="O132" s="1118"/>
      <c r="P132" s="1118"/>
      <c r="Q132" s="1118"/>
      <c r="Y132" s="1623"/>
      <c r="Z132" s="1584"/>
      <c r="AA132" s="1584"/>
      <c r="AB132" s="1584"/>
      <c r="AC132" s="1584"/>
      <c r="AD132" s="1584"/>
      <c r="AE132" s="1584"/>
      <c r="AF132" s="1585"/>
      <c r="AG132" s="1579"/>
      <c r="AH132" s="1623"/>
      <c r="AI132" s="1584"/>
      <c r="AJ132" s="1584"/>
      <c r="AK132" s="1584"/>
      <c r="AL132" s="1584"/>
      <c r="AM132" s="1585"/>
    </row>
    <row r="133" spans="1:39" s="1069" customFormat="1" ht="15.65" customHeight="1" x14ac:dyDescent="0.25">
      <c r="B133" s="1081"/>
      <c r="C133" s="1082"/>
      <c r="D133" s="1082"/>
      <c r="E133" s="1082"/>
      <c r="F133" s="1082"/>
      <c r="G133" s="1082"/>
      <c r="H133" s="1082"/>
      <c r="I133" s="1082"/>
      <c r="J133" s="1082"/>
      <c r="K133" s="1082"/>
      <c r="L133" s="1082"/>
      <c r="M133" s="1082"/>
      <c r="N133" s="1082"/>
      <c r="O133" s="1082"/>
      <c r="P133" s="1082"/>
      <c r="Q133" s="1083"/>
      <c r="Y133" s="1623"/>
      <c r="Z133" s="1584"/>
      <c r="AA133" s="1584"/>
      <c r="AB133" s="1584"/>
      <c r="AC133" s="1584"/>
      <c r="AD133" s="1584"/>
      <c r="AE133" s="1584"/>
      <c r="AF133" s="1585"/>
      <c r="AG133" s="1579"/>
      <c r="AH133" s="1623"/>
      <c r="AI133" s="1584"/>
      <c r="AJ133" s="1584"/>
      <c r="AK133" s="1584"/>
      <c r="AL133" s="1584"/>
      <c r="AM133" s="1585"/>
    </row>
    <row r="134" spans="1:39" s="1069" customFormat="1" ht="15.65" customHeight="1" x14ac:dyDescent="0.25">
      <c r="B134" s="1084"/>
      <c r="C134" s="1109" t="s">
        <v>554</v>
      </c>
      <c r="D134" s="1086"/>
      <c r="E134" s="1086"/>
      <c r="F134" s="1086"/>
      <c r="G134" s="1086"/>
      <c r="H134" s="1086"/>
      <c r="I134" s="1086"/>
      <c r="J134" s="1086"/>
      <c r="K134" s="1086"/>
      <c r="L134" s="1086"/>
      <c r="M134" s="1086"/>
      <c r="N134" s="1086"/>
      <c r="O134" s="1086"/>
      <c r="P134" s="1086"/>
      <c r="Q134" s="1087"/>
      <c r="Y134" s="1623"/>
      <c r="Z134" s="1584"/>
      <c r="AA134" s="1584"/>
      <c r="AB134" s="1584"/>
      <c r="AC134" s="1584"/>
      <c r="AD134" s="1584"/>
      <c r="AE134" s="1584"/>
      <c r="AF134" s="1585"/>
      <c r="AG134" s="1579"/>
      <c r="AH134" s="1623"/>
      <c r="AI134" s="1584"/>
      <c r="AJ134" s="1584"/>
      <c r="AK134" s="1584"/>
      <c r="AL134" s="1584"/>
      <c r="AM134" s="1585"/>
    </row>
    <row r="135" spans="1:39" s="1069" customFormat="1" ht="15.65" customHeight="1" x14ac:dyDescent="0.25">
      <c r="B135" s="1089"/>
      <c r="C135" s="1090"/>
      <c r="D135" s="1090"/>
      <c r="E135" s="1091" t="s">
        <v>555</v>
      </c>
      <c r="F135" s="1091" t="s">
        <v>81</v>
      </c>
      <c r="G135" s="1093"/>
      <c r="H135" s="1111"/>
      <c r="I135" s="1111"/>
      <c r="J135" s="1093"/>
      <c r="K135" s="1093"/>
      <c r="L135" s="1093"/>
      <c r="M135" s="1093"/>
      <c r="N135" s="1093"/>
      <c r="O135" s="1091" t="s">
        <v>556</v>
      </c>
      <c r="P135" s="1093"/>
      <c r="Q135" s="1112"/>
      <c r="Y135" s="1725" t="s">
        <v>94</v>
      </c>
      <c r="Z135" s="1584"/>
      <c r="AA135" s="1584"/>
      <c r="AB135" s="1584"/>
      <c r="AC135" s="1584"/>
      <c r="AD135" s="1584"/>
      <c r="AE135" s="1584"/>
      <c r="AF135" s="1585"/>
      <c r="AG135" s="1579"/>
      <c r="AH135" s="1623"/>
      <c r="AI135" s="1584"/>
      <c r="AJ135" s="1584"/>
      <c r="AK135" s="1584"/>
      <c r="AL135" s="1584"/>
      <c r="AM135" s="1585"/>
    </row>
    <row r="136" spans="1:39" s="1069" customFormat="1" ht="15.65" customHeight="1" x14ac:dyDescent="0.25">
      <c r="B136" s="1095"/>
      <c r="C136" s="1096"/>
      <c r="D136" s="1096"/>
      <c r="E136" s="1096"/>
      <c r="F136" s="1096"/>
      <c r="G136" s="1096"/>
      <c r="H136" s="1098"/>
      <c r="I136" s="1098"/>
      <c r="J136" s="1096"/>
      <c r="K136" s="1096"/>
      <c r="L136" s="1096"/>
      <c r="M136" s="1096"/>
      <c r="N136" s="1096"/>
      <c r="O136" s="1096"/>
      <c r="P136" s="1096"/>
      <c r="Q136" s="1099"/>
      <c r="Y136" s="1759" t="s">
        <v>128</v>
      </c>
      <c r="Z136" s="1584"/>
      <c r="AA136" s="1584"/>
      <c r="AB136" s="1584"/>
      <c r="AC136" s="1584"/>
      <c r="AD136" s="1584"/>
      <c r="AE136" s="1584"/>
      <c r="AF136" s="1585"/>
      <c r="AG136" s="1579"/>
      <c r="AH136" s="1623"/>
      <c r="AI136" s="1584"/>
      <c r="AJ136" s="1584"/>
      <c r="AK136" s="1584"/>
      <c r="AL136" s="1584"/>
      <c r="AM136" s="1585"/>
    </row>
    <row r="137" spans="1:39" s="1069" customFormat="1" ht="15.65" customHeight="1" x14ac:dyDescent="0.25">
      <c r="B137" s="1095"/>
      <c r="C137" s="1096" t="s">
        <v>557</v>
      </c>
      <c r="D137" s="1096"/>
      <c r="E137" s="433"/>
      <c r="F137" s="1260" t="s">
        <v>183</v>
      </c>
      <c r="G137" s="1096"/>
      <c r="H137" s="1098"/>
      <c r="I137" s="1098"/>
      <c r="J137" s="1096"/>
      <c r="K137" s="1096"/>
      <c r="L137" s="1096"/>
      <c r="M137" s="1096"/>
      <c r="N137" s="1096"/>
      <c r="O137" s="1096"/>
      <c r="P137" s="1096"/>
      <c r="Q137" s="1099"/>
      <c r="Y137" s="1771">
        <f>VLOOKUP(F137,massConv[#All], 3, FALSE)*E137</f>
        <v>0</v>
      </c>
      <c r="Z137" s="1584"/>
      <c r="AA137" s="1584"/>
      <c r="AB137" s="1584"/>
      <c r="AC137" s="1584"/>
      <c r="AD137" s="1584"/>
      <c r="AE137" s="1584"/>
      <c r="AF137" s="1585"/>
      <c r="AG137" s="1579"/>
      <c r="AH137" s="1623"/>
      <c r="AI137" s="1584"/>
      <c r="AJ137" s="1584"/>
      <c r="AK137" s="1584"/>
      <c r="AL137" s="1584"/>
      <c r="AM137" s="1585"/>
    </row>
    <row r="138" spans="1:39" s="1069" customFormat="1" ht="15.65" customHeight="1" x14ac:dyDescent="0.25">
      <c r="B138" s="1095"/>
      <c r="C138" s="1096" t="s">
        <v>558</v>
      </c>
      <c r="D138" s="1096"/>
      <c r="E138" s="448"/>
      <c r="F138" s="1262" t="s">
        <v>183</v>
      </c>
      <c r="G138" s="1096"/>
      <c r="H138" s="1098"/>
      <c r="I138" s="1098"/>
      <c r="J138" s="1096"/>
      <c r="K138" s="1096"/>
      <c r="L138" s="1096"/>
      <c r="M138" s="1096"/>
      <c r="N138" s="1182" t="s">
        <v>559</v>
      </c>
      <c r="O138" s="1183">
        <f>-Y138</f>
        <v>0</v>
      </c>
      <c r="P138" s="1184" t="s">
        <v>90</v>
      </c>
      <c r="Q138" s="1099"/>
      <c r="Y138" s="1772">
        <f>IF(OR(Y137="",Y137=0),0,VLOOKUP(F138,massConv[#All], 3, FALSE)*E138)</f>
        <v>0</v>
      </c>
      <c r="Z138" s="1584"/>
      <c r="AA138" s="1584"/>
      <c r="AB138" s="1584"/>
      <c r="AC138" s="1584"/>
      <c r="AD138" s="1584"/>
      <c r="AE138" s="1584"/>
      <c r="AF138" s="1585"/>
      <c r="AG138" s="1579"/>
      <c r="AH138" s="1623"/>
      <c r="AI138" s="1584"/>
      <c r="AJ138" s="1584"/>
      <c r="AK138" s="1584"/>
      <c r="AL138" s="1584"/>
      <c r="AM138" s="1585"/>
    </row>
    <row r="139" spans="1:39" s="1069" customFormat="1" ht="15.65" customHeight="1" x14ac:dyDescent="0.25">
      <c r="B139" s="1095"/>
      <c r="C139" s="1113" t="s">
        <v>560</v>
      </c>
      <c r="D139" s="1096"/>
      <c r="E139" s="1539"/>
      <c r="F139" s="1541" t="s">
        <v>183</v>
      </c>
      <c r="G139" s="1096"/>
      <c r="H139" s="1098"/>
      <c r="I139" s="1098"/>
      <c r="J139" s="1096"/>
      <c r="K139" s="1096"/>
      <c r="L139" s="1096"/>
      <c r="M139" s="1096"/>
      <c r="N139" s="1130" t="s">
        <v>382</v>
      </c>
      <c r="O139" s="1131">
        <f>-Y139</f>
        <v>0</v>
      </c>
      <c r="P139" s="1132" t="s">
        <v>90</v>
      </c>
      <c r="Q139" s="1099"/>
      <c r="Y139" s="1773">
        <f>IF(OR(Y137="",Y137=0),0,VLOOKUP(F139,massConv[#All], 3, FALSE)*E139)</f>
        <v>0</v>
      </c>
      <c r="Z139" s="1584"/>
      <c r="AA139" s="1584"/>
      <c r="AB139" s="1584"/>
      <c r="AC139" s="1584"/>
      <c r="AD139" s="1584"/>
      <c r="AE139" s="1584"/>
      <c r="AF139" s="1585"/>
      <c r="AG139" s="1579"/>
      <c r="AH139" s="1623"/>
      <c r="AI139" s="1584"/>
      <c r="AJ139" s="1584"/>
      <c r="AK139" s="1584"/>
      <c r="AL139" s="1584"/>
      <c r="AM139" s="1585"/>
    </row>
    <row r="140" spans="1:39" s="1069" customFormat="1" ht="15.65" customHeight="1" x14ac:dyDescent="0.25">
      <c r="B140" s="1095"/>
      <c r="C140" s="1113" t="s">
        <v>561</v>
      </c>
      <c r="D140" s="1096"/>
      <c r="E140" s="1540"/>
      <c r="F140" s="1534" t="s">
        <v>183</v>
      </c>
      <c r="G140" s="1096"/>
      <c r="H140" s="1098"/>
      <c r="I140" s="1098"/>
      <c r="J140" s="1096"/>
      <c r="K140" s="1096"/>
      <c r="L140" s="1096"/>
      <c r="M140" s="1096"/>
      <c r="N140" s="1130" t="s">
        <v>562</v>
      </c>
      <c r="O140" s="1131">
        <f>Y140</f>
        <v>0</v>
      </c>
      <c r="P140" s="1132" t="s">
        <v>90</v>
      </c>
      <c r="Q140" s="1099"/>
      <c r="Y140" s="1772">
        <f>IF(OR(Y137="",Y137=0),0,VLOOKUP(F140,massConv[#All], 3, FALSE)*E140)</f>
        <v>0</v>
      </c>
      <c r="Z140" s="1584"/>
      <c r="AA140" s="1584"/>
      <c r="AB140" s="1584"/>
      <c r="AC140" s="1584"/>
      <c r="AD140" s="1584"/>
      <c r="AE140" s="1584"/>
      <c r="AF140" s="1585"/>
      <c r="AG140" s="1579"/>
      <c r="AH140" s="1623"/>
      <c r="AI140" s="1584"/>
      <c r="AJ140" s="1584"/>
      <c r="AK140" s="1584"/>
      <c r="AL140" s="1584"/>
      <c r="AM140" s="1585"/>
    </row>
    <row r="141" spans="1:39" s="1069" customFormat="1" ht="15.65" customHeight="1" x14ac:dyDescent="0.25">
      <c r="B141" s="1095"/>
      <c r="C141" s="1113" t="s">
        <v>563</v>
      </c>
      <c r="D141" s="1096"/>
      <c r="E141" s="1535"/>
      <c r="F141" s="1536" t="s">
        <v>183</v>
      </c>
      <c r="G141" s="1096"/>
      <c r="H141" s="1098"/>
      <c r="I141" s="1098"/>
      <c r="J141" s="1096"/>
      <c r="K141" s="1096"/>
      <c r="L141" s="1096"/>
      <c r="M141" s="1096"/>
      <c r="N141" s="1130" t="s">
        <v>562</v>
      </c>
      <c r="O141" s="1131">
        <f>Y141</f>
        <v>0</v>
      </c>
      <c r="P141" s="1132" t="s">
        <v>90</v>
      </c>
      <c r="Q141" s="1099"/>
      <c r="Y141" s="1772">
        <f>IF(OR(Y137="",Y137=0),0,VLOOKUP(F141,massConv[#All], 3, FALSE)*E141)</f>
        <v>0</v>
      </c>
      <c r="Z141" s="1584"/>
      <c r="AA141" s="1584"/>
      <c r="AB141" s="1584"/>
      <c r="AC141" s="1584"/>
      <c r="AD141" s="1584"/>
      <c r="AE141" s="1584"/>
      <c r="AF141" s="1585"/>
      <c r="AG141" s="1579"/>
      <c r="AH141" s="1623"/>
      <c r="AI141" s="1584"/>
      <c r="AJ141" s="1584"/>
      <c r="AK141" s="1584"/>
      <c r="AL141" s="1584"/>
      <c r="AM141" s="1585"/>
    </row>
    <row r="142" spans="1:39" s="1069" customFormat="1" ht="15.65" customHeight="1" x14ac:dyDescent="0.25">
      <c r="B142" s="1095"/>
      <c r="C142" s="1113" t="s">
        <v>564</v>
      </c>
      <c r="D142" s="1096"/>
      <c r="E142" s="1537"/>
      <c r="F142" s="1538" t="s">
        <v>183</v>
      </c>
      <c r="G142" s="1096"/>
      <c r="H142" s="1098"/>
      <c r="I142" s="1098"/>
      <c r="J142" s="1096"/>
      <c r="K142" s="1096"/>
      <c r="L142" s="1096"/>
      <c r="M142" s="1096"/>
      <c r="N142" s="1130" t="s">
        <v>565</v>
      </c>
      <c r="O142" s="1131">
        <f>Y142</f>
        <v>0</v>
      </c>
      <c r="P142" s="1132" t="s">
        <v>90</v>
      </c>
      <c r="Q142" s="1099"/>
      <c r="Y142" s="1772">
        <f>IF(OR(Y137="",Y137=0),0,VLOOKUP(F142,massConv[#All], 3, FALSE)*E142)</f>
        <v>0</v>
      </c>
      <c r="Z142" s="1584"/>
      <c r="AA142" s="1584"/>
      <c r="AB142" s="1584"/>
      <c r="AC142" s="1584"/>
      <c r="AD142" s="1584"/>
      <c r="AE142" s="1584"/>
      <c r="AF142" s="1585"/>
      <c r="AG142" s="1579"/>
      <c r="AH142" s="1623"/>
      <c r="AI142" s="1584"/>
      <c r="AJ142" s="1584"/>
      <c r="AK142" s="1584"/>
      <c r="AL142" s="1584"/>
      <c r="AM142" s="1585"/>
    </row>
    <row r="143" spans="1:39" s="1069" customFormat="1" ht="15.65" customHeight="1" x14ac:dyDescent="0.25">
      <c r="B143" s="1105"/>
      <c r="C143" s="1106"/>
      <c r="D143" s="1106"/>
      <c r="E143" s="1106"/>
      <c r="F143" s="1106"/>
      <c r="G143" s="1106"/>
      <c r="H143" s="1115"/>
      <c r="I143" s="1115"/>
      <c r="J143" s="1106"/>
      <c r="K143" s="1106"/>
      <c r="L143" s="1106"/>
      <c r="M143" s="1106"/>
      <c r="N143" s="1144" t="s">
        <v>120</v>
      </c>
      <c r="O143" s="1145">
        <f>SUM(O140:O142)</f>
        <v>0</v>
      </c>
      <c r="P143" s="1146" t="s">
        <v>90</v>
      </c>
      <c r="Q143" s="1107"/>
      <c r="Y143" s="1623"/>
      <c r="Z143" s="1584"/>
      <c r="AA143" s="1584"/>
      <c r="AB143" s="1584"/>
      <c r="AC143" s="1584"/>
      <c r="AD143" s="1584"/>
      <c r="AE143" s="1584"/>
      <c r="AF143" s="1585"/>
      <c r="AG143" s="1579"/>
      <c r="AH143" s="1623"/>
      <c r="AI143" s="1584"/>
      <c r="AJ143" s="1584"/>
      <c r="AK143" s="1584"/>
      <c r="AL143" s="1584"/>
      <c r="AM143" s="1585"/>
    </row>
    <row r="144" spans="1:39" s="1164" customFormat="1" ht="15.65" customHeight="1" x14ac:dyDescent="0.25">
      <c r="B144" s="1108"/>
      <c r="C144" s="1108"/>
      <c r="D144" s="1108"/>
      <c r="E144" s="1267"/>
      <c r="F144" s="1267"/>
      <c r="G144" s="1108"/>
      <c r="H144" s="1268"/>
      <c r="I144" s="1102"/>
      <c r="J144" s="1108"/>
      <c r="K144" s="1267"/>
      <c r="L144" s="1108"/>
      <c r="M144" s="1108"/>
      <c r="N144" s="1163"/>
      <c r="O144" s="1108"/>
      <c r="P144" s="1108"/>
      <c r="Q144" s="1108"/>
      <c r="Y144" s="1743"/>
      <c r="Z144" s="1583"/>
      <c r="AA144" s="1583"/>
      <c r="AB144" s="1583"/>
      <c r="AC144" s="1583"/>
      <c r="AD144" s="1583"/>
      <c r="AE144" s="1583"/>
      <c r="AF144" s="1744"/>
      <c r="AG144" s="1774"/>
      <c r="AH144" s="1743"/>
      <c r="AI144" s="1583"/>
      <c r="AJ144" s="1583"/>
      <c r="AK144" s="1583"/>
      <c r="AL144" s="1583"/>
      <c r="AM144" s="1744"/>
    </row>
    <row r="145" spans="2:39" s="1164" customFormat="1" ht="15.65" customHeight="1" x14ac:dyDescent="0.25">
      <c r="B145" s="1207"/>
      <c r="C145" s="1208"/>
      <c r="D145" s="1208"/>
      <c r="E145" s="1208"/>
      <c r="F145" s="1208"/>
      <c r="G145" s="1208"/>
      <c r="H145" s="1269"/>
      <c r="I145" s="1269"/>
      <c r="J145" s="1208"/>
      <c r="K145" s="1208"/>
      <c r="L145" s="1208"/>
      <c r="M145" s="1208"/>
      <c r="N145" s="1270"/>
      <c r="O145" s="1208"/>
      <c r="P145" s="1208"/>
      <c r="Q145" s="1209"/>
      <c r="Y145" s="1743"/>
      <c r="Z145" s="1583"/>
      <c r="AA145" s="1583"/>
      <c r="AB145" s="1583"/>
      <c r="AC145" s="1583"/>
      <c r="AD145" s="1583"/>
      <c r="AE145" s="1583"/>
      <c r="AF145" s="1744"/>
      <c r="AG145" s="1774"/>
      <c r="AH145" s="1743"/>
      <c r="AI145" s="1583"/>
      <c r="AJ145" s="1583"/>
      <c r="AK145" s="1583"/>
      <c r="AL145" s="1583"/>
      <c r="AM145" s="1744"/>
    </row>
    <row r="146" spans="2:39" s="1164" customFormat="1" ht="15.65" customHeight="1" x14ac:dyDescent="0.25">
      <c r="B146" s="1210"/>
      <c r="C146" s="1211" t="s">
        <v>312</v>
      </c>
      <c r="D146" s="1212"/>
      <c r="E146" s="1212"/>
      <c r="F146" s="1212"/>
      <c r="G146" s="1212"/>
      <c r="H146" s="1252"/>
      <c r="I146" s="1252"/>
      <c r="J146" s="1212"/>
      <c r="K146" s="1212"/>
      <c r="L146" s="1212"/>
      <c r="M146" s="1212"/>
      <c r="N146" s="1271"/>
      <c r="O146" s="1212"/>
      <c r="P146" s="1212"/>
      <c r="Q146" s="1213"/>
      <c r="Y146" s="1725" t="s">
        <v>94</v>
      </c>
      <c r="Z146" s="1583"/>
      <c r="AA146" s="1583"/>
      <c r="AB146" s="1583"/>
      <c r="AC146" s="1583"/>
      <c r="AD146" s="1583"/>
      <c r="AE146" s="1583"/>
      <c r="AF146" s="1744"/>
      <c r="AG146" s="1774"/>
      <c r="AH146" s="1743"/>
      <c r="AI146" s="1583"/>
      <c r="AJ146" s="1583"/>
      <c r="AK146" s="1583"/>
      <c r="AL146" s="1583"/>
      <c r="AM146" s="1744"/>
    </row>
    <row r="147" spans="2:39" s="1164" customFormat="1" ht="15.65" customHeight="1" x14ac:dyDescent="0.25">
      <c r="B147" s="1214"/>
      <c r="C147" s="1215"/>
      <c r="D147" s="1215"/>
      <c r="E147" s="1111" t="s">
        <v>313</v>
      </c>
      <c r="F147" s="1091" t="s">
        <v>314</v>
      </c>
      <c r="G147" s="1091" t="s">
        <v>315</v>
      </c>
      <c r="H147" s="1091" t="s">
        <v>316</v>
      </c>
      <c r="I147" s="1092"/>
      <c r="J147" s="1215"/>
      <c r="K147" s="1215"/>
      <c r="L147" s="1215"/>
      <c r="M147" s="1215"/>
      <c r="N147" s="1272"/>
      <c r="O147" s="1091" t="s">
        <v>323</v>
      </c>
      <c r="P147" s="1215"/>
      <c r="Q147" s="1216"/>
      <c r="Y147" s="1725" t="s">
        <v>128</v>
      </c>
      <c r="Z147" s="1583"/>
      <c r="AA147" s="1583"/>
      <c r="AB147" s="1583"/>
      <c r="AC147" s="1583"/>
      <c r="AD147" s="1583"/>
      <c r="AE147" s="1583"/>
      <c r="AF147" s="1744"/>
      <c r="AG147" s="1774"/>
      <c r="AH147" s="1743"/>
      <c r="AI147" s="1583"/>
      <c r="AJ147" s="1583"/>
      <c r="AK147" s="1583"/>
      <c r="AL147" s="1583"/>
      <c r="AM147" s="1744"/>
    </row>
    <row r="148" spans="2:39" s="1164" customFormat="1" ht="15.65" customHeight="1" x14ac:dyDescent="0.25">
      <c r="B148" s="1192"/>
      <c r="C148" s="1193"/>
      <c r="D148" s="1193"/>
      <c r="E148" s="1193"/>
      <c r="F148" s="1193"/>
      <c r="G148" s="1193"/>
      <c r="H148" s="1193"/>
      <c r="I148" s="1194"/>
      <c r="J148" s="1193"/>
      <c r="K148" s="1193"/>
      <c r="L148" s="1193"/>
      <c r="M148" s="1193"/>
      <c r="N148" s="1273"/>
      <c r="O148" s="1193"/>
      <c r="P148" s="1097"/>
      <c r="Q148" s="1195"/>
      <c r="Y148" s="1775"/>
      <c r="Z148" s="1583"/>
      <c r="AA148" s="1583"/>
      <c r="AB148" s="1583"/>
      <c r="AC148" s="1583"/>
      <c r="AD148" s="1583"/>
      <c r="AE148" s="1583"/>
      <c r="AF148" s="1744"/>
      <c r="AG148" s="1774"/>
      <c r="AH148" s="1743"/>
      <c r="AI148" s="1583"/>
      <c r="AJ148" s="1583"/>
      <c r="AK148" s="1583"/>
      <c r="AL148" s="1583"/>
      <c r="AM148" s="1744"/>
    </row>
    <row r="149" spans="2:39" s="1164" customFormat="1" ht="15.65" customHeight="1" x14ac:dyDescent="0.25">
      <c r="B149" s="1095"/>
      <c r="C149" s="1101" t="s">
        <v>317</v>
      </c>
      <c r="D149" s="1101"/>
      <c r="E149" s="434"/>
      <c r="F149" s="362"/>
      <c r="G149" s="362"/>
      <c r="H149" s="402"/>
      <c r="I149" s="1275"/>
      <c r="J149" s="1101"/>
      <c r="K149" s="1101"/>
      <c r="L149" s="1101"/>
      <c r="M149" s="1099"/>
      <c r="N149" s="1276" t="str">
        <f>IF(F149="","",F149)</f>
        <v/>
      </c>
      <c r="O149" s="1183">
        <f>IF(F149="",0,IFERROR(Y149,'Hidden Lists and Summaries'!$C$158))</f>
        <v>0</v>
      </c>
      <c r="P149" s="1131" t="s">
        <v>90</v>
      </c>
      <c r="Q149" s="1277"/>
      <c r="Y149" s="1745" t="e">
        <f>G149*VLOOKUP(H149,massConv[#All],3,FALSE)</f>
        <v>#N/A</v>
      </c>
      <c r="Z149" s="1583"/>
      <c r="AA149" s="1583"/>
      <c r="AB149" s="1583"/>
      <c r="AC149" s="1583"/>
      <c r="AD149" s="1583"/>
      <c r="AE149" s="1583"/>
      <c r="AF149" s="1744"/>
      <c r="AG149" s="1774"/>
      <c r="AH149" s="1743"/>
      <c r="AI149" s="1583">
        <f>O149</f>
        <v>0</v>
      </c>
      <c r="AJ149" s="1583"/>
      <c r="AK149" s="1583">
        <f>F149</f>
        <v>0</v>
      </c>
      <c r="AL149" s="1583"/>
      <c r="AM149" s="1744" t="str">
        <f>IF(AK149='Hidden Lists and Summaries'!$B$5,"Other","")</f>
        <v/>
      </c>
    </row>
    <row r="150" spans="2:39" s="1164" customFormat="1" ht="15.65" customHeight="1" x14ac:dyDescent="0.25">
      <c r="B150" s="1095"/>
      <c r="C150" s="1101" t="s">
        <v>318</v>
      </c>
      <c r="D150" s="1101"/>
      <c r="E150" s="435"/>
      <c r="F150" s="366"/>
      <c r="G150" s="404"/>
      <c r="H150" s="405"/>
      <c r="I150" s="1275"/>
      <c r="J150" s="1101"/>
      <c r="K150" s="1101"/>
      <c r="L150" s="1101"/>
      <c r="M150" s="1101"/>
      <c r="N150" s="1278" t="str">
        <f t="shared" ref="N150:N152" si="3">IF(F150="","",F150)</f>
        <v/>
      </c>
      <c r="O150" s="1131">
        <f>IF(F150="",0,IFERROR(Y150,'Hidden Lists and Summaries'!$C$158))</f>
        <v>0</v>
      </c>
      <c r="P150" s="1131" t="s">
        <v>90</v>
      </c>
      <c r="Q150" s="1277"/>
      <c r="Y150" s="1745" t="e">
        <f>G150*VLOOKUP(H150,massConv[#All],3,FALSE)</f>
        <v>#N/A</v>
      </c>
      <c r="Z150" s="1583"/>
      <c r="AA150" s="1583"/>
      <c r="AB150" s="1583"/>
      <c r="AC150" s="1583"/>
      <c r="AD150" s="1583"/>
      <c r="AE150" s="1583"/>
      <c r="AF150" s="1744"/>
      <c r="AG150" s="1774"/>
      <c r="AH150" s="1743"/>
      <c r="AI150" s="1583">
        <f>O150</f>
        <v>0</v>
      </c>
      <c r="AJ150" s="1583"/>
      <c r="AK150" s="1583">
        <f>F150</f>
        <v>0</v>
      </c>
      <c r="AL150" s="1583"/>
      <c r="AM150" s="1744" t="str">
        <f>IF(AK150='Hidden Lists and Summaries'!$B$5,"Other","")</f>
        <v/>
      </c>
    </row>
    <row r="151" spans="2:39" s="1164" customFormat="1" ht="15.65" customHeight="1" x14ac:dyDescent="0.25">
      <c r="B151" s="1095"/>
      <c r="C151" s="1101" t="s">
        <v>319</v>
      </c>
      <c r="D151" s="1101"/>
      <c r="E151" s="435"/>
      <c r="F151" s="366"/>
      <c r="G151" s="366"/>
      <c r="H151" s="406"/>
      <c r="I151" s="1275"/>
      <c r="J151" s="1101"/>
      <c r="K151" s="1101"/>
      <c r="L151" s="1101"/>
      <c r="M151" s="1099"/>
      <c r="N151" s="1279" t="str">
        <f t="shared" si="3"/>
        <v/>
      </c>
      <c r="O151" s="1131">
        <f>IF(F151="",0,IFERROR(Y151,'Hidden Lists and Summaries'!$C$158))</f>
        <v>0</v>
      </c>
      <c r="P151" s="1131" t="s">
        <v>90</v>
      </c>
      <c r="Q151" s="1277"/>
      <c r="Y151" s="1745" t="e">
        <f>G151*VLOOKUP(H151,massConv[#All],3,FALSE)</f>
        <v>#N/A</v>
      </c>
      <c r="Z151" s="1583"/>
      <c r="AA151" s="1583"/>
      <c r="AB151" s="1583"/>
      <c r="AC151" s="1583"/>
      <c r="AD151" s="1583"/>
      <c r="AE151" s="1583"/>
      <c r="AF151" s="1744"/>
      <c r="AG151" s="1774"/>
      <c r="AH151" s="1743"/>
      <c r="AI151" s="1583">
        <f>O151</f>
        <v>0</v>
      </c>
      <c r="AJ151" s="1583"/>
      <c r="AK151" s="1583">
        <f>F151</f>
        <v>0</v>
      </c>
      <c r="AL151" s="1583"/>
      <c r="AM151" s="1744" t="str">
        <f>IF(AK151='Hidden Lists and Summaries'!$B$5,"Other","")</f>
        <v/>
      </c>
    </row>
    <row r="152" spans="2:39" s="1164" customFormat="1" ht="15.65" customHeight="1" x14ac:dyDescent="0.25">
      <c r="B152" s="1095"/>
      <c r="C152" s="1101" t="s">
        <v>320</v>
      </c>
      <c r="D152" s="1101"/>
      <c r="E152" s="436"/>
      <c r="F152" s="408"/>
      <c r="G152" s="371"/>
      <c r="H152" s="409"/>
      <c r="I152" s="1275"/>
      <c r="J152" s="1101"/>
      <c r="K152" s="1101"/>
      <c r="L152" s="1101"/>
      <c r="M152" s="1101"/>
      <c r="N152" s="1278" t="str">
        <f t="shared" si="3"/>
        <v/>
      </c>
      <c r="O152" s="1131">
        <f>IF(F152="",0,IFERROR(Y152,'Hidden Lists and Summaries'!$C$158))</f>
        <v>0</v>
      </c>
      <c r="P152" s="1280" t="s">
        <v>90</v>
      </c>
      <c r="Q152" s="1277"/>
      <c r="Y152" s="1776" t="e">
        <f>G152*VLOOKUP(H152,massConv[#All],3,FALSE)</f>
        <v>#N/A</v>
      </c>
      <c r="Z152" s="1583"/>
      <c r="AA152" s="1583"/>
      <c r="AB152" s="1583"/>
      <c r="AC152" s="1583"/>
      <c r="AD152" s="1583"/>
      <c r="AE152" s="1583"/>
      <c r="AF152" s="1744"/>
      <c r="AG152" s="1774"/>
      <c r="AH152" s="1777"/>
      <c r="AI152" s="1758">
        <f>O152</f>
        <v>0</v>
      </c>
      <c r="AJ152" s="1758"/>
      <c r="AK152" s="1758">
        <f>F152</f>
        <v>0</v>
      </c>
      <c r="AL152" s="1758"/>
      <c r="AM152" s="1778" t="str">
        <f>IF(AK152='Hidden Lists and Summaries'!$B$5,"Other","")</f>
        <v/>
      </c>
    </row>
    <row r="153" spans="2:39" s="1164" customFormat="1" x14ac:dyDescent="0.25">
      <c r="B153" s="1105"/>
      <c r="C153" s="1106"/>
      <c r="D153" s="1106"/>
      <c r="E153" s="1097"/>
      <c r="F153" s="1097"/>
      <c r="G153" s="1106"/>
      <c r="H153" s="1284"/>
      <c r="I153" s="1284"/>
      <c r="J153" s="1106"/>
      <c r="K153" s="1106"/>
      <c r="L153" s="1106"/>
      <c r="M153" s="1106"/>
      <c r="N153" s="1285" t="s">
        <v>120</v>
      </c>
      <c r="O153" s="1286">
        <f>SUM(O149:O152)</f>
        <v>0</v>
      </c>
      <c r="P153" s="1287" t="s">
        <v>90</v>
      </c>
      <c r="Q153" s="1107"/>
      <c r="Y153" s="1743"/>
      <c r="Z153" s="1583"/>
      <c r="AA153" s="1583"/>
      <c r="AB153" s="1583"/>
      <c r="AC153" s="1583"/>
      <c r="AD153" s="1583"/>
      <c r="AE153" s="1583"/>
      <c r="AF153" s="1744"/>
      <c r="AG153" s="1774"/>
      <c r="AH153" s="1774"/>
      <c r="AI153" s="1774"/>
      <c r="AJ153" s="1774"/>
      <c r="AK153" s="1774"/>
      <c r="AL153" s="1774"/>
      <c r="AM153" s="1774"/>
    </row>
    <row r="154" spans="2:39" s="1069" customFormat="1" ht="15.65" customHeight="1" x14ac:dyDescent="0.25">
      <c r="B154" s="1118"/>
      <c r="C154" s="1118"/>
      <c r="D154" s="1118"/>
      <c r="E154" s="1118"/>
      <c r="F154" s="1118"/>
      <c r="G154" s="1118"/>
      <c r="H154" s="1118"/>
      <c r="I154" s="1118"/>
      <c r="J154" s="1118"/>
      <c r="K154" s="1118"/>
      <c r="L154" s="1118"/>
      <c r="M154" s="1118"/>
      <c r="N154" s="1118"/>
      <c r="O154" s="1118"/>
      <c r="P154" s="1118"/>
      <c r="Q154" s="1118"/>
      <c r="Y154" s="1623"/>
      <c r="Z154" s="1584"/>
      <c r="AA154" s="1584"/>
      <c r="AB154" s="1584"/>
      <c r="AC154" s="1584"/>
      <c r="AD154" s="1584"/>
      <c r="AE154" s="1584"/>
      <c r="AF154" s="1585"/>
      <c r="AG154" s="1579"/>
      <c r="AH154" s="1579"/>
      <c r="AI154" s="1579"/>
      <c r="AJ154" s="1579"/>
      <c r="AK154" s="1579"/>
      <c r="AL154" s="1579"/>
      <c r="AM154" s="1579"/>
    </row>
    <row r="155" spans="2:39" s="1069" customFormat="1" ht="15.65" customHeight="1" x14ac:dyDescent="0.25">
      <c r="B155" s="1081"/>
      <c r="C155" s="1082"/>
      <c r="D155" s="1082"/>
      <c r="E155" s="1082"/>
      <c r="F155" s="1082"/>
      <c r="G155" s="1082"/>
      <c r="H155" s="1082"/>
      <c r="I155" s="1082"/>
      <c r="J155" s="1082"/>
      <c r="K155" s="1082"/>
      <c r="L155" s="1082"/>
      <c r="M155" s="1082"/>
      <c r="N155" s="1082"/>
      <c r="O155" s="1082"/>
      <c r="P155" s="1082"/>
      <c r="Q155" s="1083"/>
      <c r="Y155" s="1623"/>
      <c r="Z155" s="1584"/>
      <c r="AA155" s="1584"/>
      <c r="AB155" s="1584"/>
      <c r="AC155" s="1584"/>
      <c r="AD155" s="1584"/>
      <c r="AE155" s="1584"/>
      <c r="AF155" s="1585"/>
      <c r="AG155" s="1579"/>
      <c r="AH155" s="1579"/>
      <c r="AI155" s="1579"/>
      <c r="AJ155" s="1579"/>
      <c r="AK155" s="1579"/>
      <c r="AL155" s="1579"/>
      <c r="AM155" s="1579"/>
    </row>
    <row r="156" spans="2:39" s="1069" customFormat="1" ht="15.65" customHeight="1" x14ac:dyDescent="0.25">
      <c r="B156" s="1084"/>
      <c r="C156" s="1109" t="s">
        <v>1322</v>
      </c>
      <c r="D156" s="1086"/>
      <c r="E156" s="1086"/>
      <c r="F156" s="1086"/>
      <c r="G156" s="1086"/>
      <c r="H156" s="1086"/>
      <c r="I156" s="1086"/>
      <c r="J156" s="1086"/>
      <c r="K156" s="1086"/>
      <c r="L156" s="1086"/>
      <c r="M156" s="1086"/>
      <c r="N156" s="1086"/>
      <c r="O156" s="1086"/>
      <c r="P156" s="1086"/>
      <c r="Q156" s="1087"/>
      <c r="Y156" s="1623"/>
      <c r="Z156" s="1584"/>
      <c r="AA156" s="1584"/>
      <c r="AB156" s="1584"/>
      <c r="AC156" s="1584"/>
      <c r="AD156" s="1584"/>
      <c r="AE156" s="1584"/>
      <c r="AF156" s="1585"/>
      <c r="AG156" s="1579"/>
      <c r="AH156" s="1579"/>
      <c r="AI156" s="1579"/>
      <c r="AJ156" s="1579"/>
      <c r="AK156" s="1579"/>
      <c r="AL156" s="1579"/>
      <c r="AM156" s="1579"/>
    </row>
    <row r="157" spans="2:39" s="1069" customFormat="1" ht="15.65" customHeight="1" x14ac:dyDescent="0.25">
      <c r="B157" s="1089"/>
      <c r="C157" s="1090"/>
      <c r="D157" s="1090"/>
      <c r="E157" s="130" t="s">
        <v>337</v>
      </c>
      <c r="F157" s="1091" t="s">
        <v>81</v>
      </c>
      <c r="G157" s="1093"/>
      <c r="H157" s="1111"/>
      <c r="I157" s="1111"/>
      <c r="J157" s="1093"/>
      <c r="K157" s="1093"/>
      <c r="L157" s="1093"/>
      <c r="M157" s="1093"/>
      <c r="N157" s="1093"/>
      <c r="O157" s="1091" t="s">
        <v>323</v>
      </c>
      <c r="P157" s="1093"/>
      <c r="Q157" s="1112"/>
      <c r="Y157" s="1738" t="s">
        <v>109</v>
      </c>
      <c r="Z157" s="1582" t="s">
        <v>566</v>
      </c>
      <c r="AA157" s="1584"/>
      <c r="AB157" s="1584"/>
      <c r="AC157" s="1584"/>
      <c r="AD157" s="1584"/>
      <c r="AE157" s="1584"/>
      <c r="AF157" s="1585"/>
      <c r="AG157" s="1579"/>
      <c r="AH157" s="1579"/>
      <c r="AI157" s="1579"/>
      <c r="AJ157" s="1579"/>
      <c r="AK157" s="1579"/>
      <c r="AL157" s="1579"/>
      <c r="AM157" s="1579"/>
    </row>
    <row r="158" spans="2:39" s="1069" customFormat="1" ht="15.65" customHeight="1" x14ac:dyDescent="0.25">
      <c r="B158" s="1095"/>
      <c r="C158" s="1096"/>
      <c r="D158" s="1096"/>
      <c r="E158" s="1096"/>
      <c r="F158" s="1096"/>
      <c r="G158" s="1096"/>
      <c r="H158" s="1098"/>
      <c r="I158" s="1098"/>
      <c r="J158" s="1096"/>
      <c r="K158" s="1096"/>
      <c r="L158" s="1096"/>
      <c r="M158" s="1096"/>
      <c r="N158" s="1288"/>
      <c r="O158" s="1126" t="s">
        <v>325</v>
      </c>
      <c r="P158" s="1155"/>
      <c r="Q158" s="1099"/>
      <c r="Y158" s="1759" t="s">
        <v>84</v>
      </c>
      <c r="Z158" s="1582" t="s">
        <v>326</v>
      </c>
      <c r="AA158" s="1584"/>
      <c r="AB158" s="1584"/>
      <c r="AC158" s="1584"/>
      <c r="AD158" s="1584"/>
      <c r="AE158" s="1584"/>
      <c r="AF158" s="1585"/>
      <c r="AG158" s="1579"/>
      <c r="AH158" s="1579"/>
      <c r="AI158" s="1579"/>
      <c r="AJ158" s="1579"/>
      <c r="AK158" s="1579"/>
      <c r="AL158" s="1579"/>
      <c r="AM158" s="1579"/>
    </row>
    <row r="159" spans="2:39" s="1069" customFormat="1" ht="15.65" customHeight="1" x14ac:dyDescent="0.25">
      <c r="B159" s="1095"/>
      <c r="C159" s="1113" t="s">
        <v>327</v>
      </c>
      <c r="D159" s="1096"/>
      <c r="E159" s="410"/>
      <c r="F159" s="1289" t="s">
        <v>86</v>
      </c>
      <c r="G159" s="1096"/>
      <c r="H159" s="1098"/>
      <c r="I159" s="1098"/>
      <c r="J159" s="1096"/>
      <c r="K159" s="1096"/>
      <c r="L159" s="1096"/>
      <c r="M159" s="1096"/>
      <c r="N159" s="1130"/>
      <c r="O159" s="1131">
        <f>IFERROR(Y159*Z159,'Hidden Lists and Summaries'!$C$158)</f>
        <v>0</v>
      </c>
      <c r="P159" s="1132" t="s">
        <v>90</v>
      </c>
      <c r="Q159" s="1099"/>
      <c r="Y159" s="1779">
        <f>VLOOKUP(F159,EnergyConversionTable[#All], 3, FALSE)*E159</f>
        <v>0</v>
      </c>
      <c r="Z159" s="1780">
        <f>'Key Values'!$C$149</f>
        <v>0.95499999999999996</v>
      </c>
      <c r="AA159" s="1584"/>
      <c r="AB159" s="1584"/>
      <c r="AC159" s="1584"/>
      <c r="AD159" s="1584"/>
      <c r="AE159" s="1584"/>
      <c r="AF159" s="1585"/>
      <c r="AG159" s="1579"/>
      <c r="AH159" s="1579"/>
      <c r="AI159" s="1579"/>
      <c r="AJ159" s="1579"/>
      <c r="AK159" s="1579"/>
      <c r="AL159" s="1579"/>
      <c r="AM159" s="1579"/>
    </row>
    <row r="160" spans="2:39" s="1069" customFormat="1" ht="15.65" customHeight="1" x14ac:dyDescent="0.25">
      <c r="B160" s="1105"/>
      <c r="C160" s="1106"/>
      <c r="D160" s="1106"/>
      <c r="E160" s="1106"/>
      <c r="F160" s="1106"/>
      <c r="G160" s="1106"/>
      <c r="H160" s="1115"/>
      <c r="I160" s="1115"/>
      <c r="J160" s="1106"/>
      <c r="K160" s="1106"/>
      <c r="L160" s="1106"/>
      <c r="M160" s="1106"/>
      <c r="N160" s="1144" t="s">
        <v>120</v>
      </c>
      <c r="O160" s="1145">
        <f>SUM(O159:O159)</f>
        <v>0</v>
      </c>
      <c r="P160" s="1146" t="s">
        <v>90</v>
      </c>
      <c r="Q160" s="1107"/>
      <c r="Y160" s="1623"/>
      <c r="Z160" s="1584"/>
      <c r="AA160" s="1584"/>
      <c r="AB160" s="1584"/>
      <c r="AC160" s="1584"/>
      <c r="AD160" s="1584"/>
      <c r="AE160" s="1584"/>
      <c r="AF160" s="1585"/>
      <c r="AG160" s="1579"/>
      <c r="AH160" s="1579"/>
      <c r="AI160" s="1579"/>
      <c r="AJ160" s="1579"/>
      <c r="AK160" s="1579"/>
      <c r="AL160" s="1579"/>
      <c r="AM160" s="1579"/>
    </row>
    <row r="161" spans="2:39" s="1069" customFormat="1" ht="15.65" customHeight="1" x14ac:dyDescent="0.25">
      <c r="B161" s="1118"/>
      <c r="C161" s="1118"/>
      <c r="D161" s="1118"/>
      <c r="E161" s="1118"/>
      <c r="F161" s="1118"/>
      <c r="G161" s="1118"/>
      <c r="H161" s="1118"/>
      <c r="I161" s="1118"/>
      <c r="J161" s="1118"/>
      <c r="K161" s="1118"/>
      <c r="L161" s="1118"/>
      <c r="M161" s="1118"/>
      <c r="N161" s="1118"/>
      <c r="O161" s="1118"/>
      <c r="P161" s="1118"/>
      <c r="Q161" s="1118"/>
      <c r="Y161" s="1623"/>
      <c r="Z161" s="1584"/>
      <c r="AA161" s="1584"/>
      <c r="AB161" s="1584"/>
      <c r="AC161" s="1584"/>
      <c r="AD161" s="1584"/>
      <c r="AE161" s="1584"/>
      <c r="AF161" s="1585"/>
      <c r="AG161" s="1579"/>
      <c r="AH161" s="1579"/>
      <c r="AI161" s="1579"/>
      <c r="AJ161" s="1579"/>
      <c r="AK161" s="1579"/>
      <c r="AL161" s="1579"/>
      <c r="AM161" s="1579"/>
    </row>
    <row r="162" spans="2:39" s="1069" customFormat="1" ht="15.65" customHeight="1" x14ac:dyDescent="0.25">
      <c r="B162" s="1081"/>
      <c r="C162" s="1082"/>
      <c r="D162" s="1082"/>
      <c r="E162" s="1082"/>
      <c r="F162" s="1082"/>
      <c r="G162" s="1082"/>
      <c r="H162" s="1082"/>
      <c r="I162" s="1082"/>
      <c r="J162" s="1082"/>
      <c r="K162" s="1082"/>
      <c r="L162" s="1082"/>
      <c r="M162" s="1082"/>
      <c r="N162" s="1082"/>
      <c r="O162" s="1082"/>
      <c r="P162" s="1082"/>
      <c r="Q162" s="1083"/>
      <c r="Y162" s="1623"/>
      <c r="Z162" s="1584"/>
      <c r="AA162" s="1584"/>
      <c r="AB162" s="1584"/>
      <c r="AC162" s="1584"/>
      <c r="AD162" s="1584"/>
      <c r="AE162" s="1584"/>
      <c r="AF162" s="1585"/>
      <c r="AG162" s="1579"/>
      <c r="AH162" s="1579"/>
      <c r="AI162" s="1579"/>
      <c r="AJ162" s="1579"/>
      <c r="AK162" s="1579"/>
      <c r="AL162" s="1579"/>
      <c r="AM162" s="1579"/>
    </row>
    <row r="163" spans="2:39" s="1069" customFormat="1" ht="15.65" customHeight="1" x14ac:dyDescent="0.25">
      <c r="B163" s="1084"/>
      <c r="C163" s="1109" t="s">
        <v>1323</v>
      </c>
      <c r="D163" s="1086"/>
      <c r="E163" s="1086"/>
      <c r="F163" s="1086"/>
      <c r="G163" s="1086"/>
      <c r="H163" s="1086"/>
      <c r="I163" s="1086"/>
      <c r="J163" s="1086"/>
      <c r="K163" s="1086"/>
      <c r="L163" s="1086"/>
      <c r="M163" s="1086"/>
      <c r="N163" s="1086"/>
      <c r="O163" s="1086"/>
      <c r="P163" s="1086"/>
      <c r="Q163" s="1087"/>
      <c r="Y163" s="1623"/>
      <c r="Z163" s="1584"/>
      <c r="AA163" s="1584"/>
      <c r="AB163" s="1584"/>
      <c r="AC163" s="1584"/>
      <c r="AD163" s="1584"/>
      <c r="AE163" s="1584"/>
      <c r="AF163" s="1585"/>
      <c r="AG163" s="1579"/>
      <c r="AH163" s="1579"/>
      <c r="AI163" s="1579"/>
      <c r="AJ163" s="1579"/>
      <c r="AK163" s="1579"/>
      <c r="AL163" s="1579"/>
      <c r="AM163" s="1579"/>
    </row>
    <row r="164" spans="2:39" s="1069" customFormat="1" ht="15.65" customHeight="1" x14ac:dyDescent="0.25">
      <c r="B164" s="1089"/>
      <c r="C164" s="1090"/>
      <c r="D164" s="1090"/>
      <c r="E164" s="1200" t="s">
        <v>336</v>
      </c>
      <c r="F164" s="130" t="s">
        <v>337</v>
      </c>
      <c r="G164" s="1091" t="s">
        <v>528</v>
      </c>
      <c r="H164" s="1091" t="s">
        <v>263</v>
      </c>
      <c r="I164" s="1111"/>
      <c r="J164" s="1093"/>
      <c r="K164" s="1093"/>
      <c r="L164" s="1093"/>
      <c r="M164" s="1093"/>
      <c r="N164" s="1093"/>
      <c r="O164" s="1091" t="s">
        <v>323</v>
      </c>
      <c r="P164" s="1093"/>
      <c r="Q164" s="1112"/>
      <c r="Y164" s="1725" t="s">
        <v>77</v>
      </c>
      <c r="Z164" s="1627" t="s">
        <v>330</v>
      </c>
      <c r="AA164" s="1582" t="s">
        <v>331</v>
      </c>
      <c r="AB164" s="1582" t="s">
        <v>123</v>
      </c>
      <c r="AC164" s="1582" t="s">
        <v>264</v>
      </c>
      <c r="AD164" s="1582" t="s">
        <v>265</v>
      </c>
      <c r="AE164" s="1584"/>
      <c r="AF164" s="1585"/>
      <c r="AG164" s="1579"/>
      <c r="AH164" s="1579"/>
      <c r="AI164" s="1579"/>
      <c r="AJ164" s="1579"/>
      <c r="AK164" s="1579"/>
      <c r="AL164" s="1579"/>
      <c r="AM164" s="1579"/>
    </row>
    <row r="165" spans="2:39" s="1069" customFormat="1" ht="15.65" customHeight="1" x14ac:dyDescent="0.25">
      <c r="B165" s="1095"/>
      <c r="C165" s="1096"/>
      <c r="D165" s="1096"/>
      <c r="E165" s="1292"/>
      <c r="F165" s="1096"/>
      <c r="G165" s="1096"/>
      <c r="H165" s="1096"/>
      <c r="I165" s="1098"/>
      <c r="J165" s="1096"/>
      <c r="K165" s="1096"/>
      <c r="L165" s="1096"/>
      <c r="M165" s="1096"/>
      <c r="N165" s="1288"/>
      <c r="O165" s="1126" t="s">
        <v>325</v>
      </c>
      <c r="P165" s="1155"/>
      <c r="Q165" s="1099"/>
      <c r="Y165" s="1725" t="s">
        <v>273</v>
      </c>
      <c r="Z165" s="1628" t="s">
        <v>128</v>
      </c>
      <c r="AA165" s="1581" t="s">
        <v>128</v>
      </c>
      <c r="AB165" s="1725" t="s">
        <v>272</v>
      </c>
      <c r="AC165" s="1582" t="s">
        <v>270</v>
      </c>
      <c r="AD165" s="1582" t="s">
        <v>270</v>
      </c>
      <c r="AE165" s="1584"/>
      <c r="AF165" s="1585"/>
      <c r="AG165" s="1579"/>
      <c r="AH165" s="1579"/>
      <c r="AI165" s="1579"/>
      <c r="AJ165" s="1579"/>
      <c r="AK165" s="1579"/>
      <c r="AL165" s="1579"/>
      <c r="AM165" s="1579"/>
    </row>
    <row r="166" spans="2:39" s="1069" customFormat="1" ht="15.65" customHeight="1" x14ac:dyDescent="0.25">
      <c r="B166" s="1095"/>
      <c r="C166" s="1113" t="s">
        <v>332</v>
      </c>
      <c r="D166" s="1096"/>
      <c r="E166" s="411"/>
      <c r="F166" s="438"/>
      <c r="G166" s="412"/>
      <c r="H166" s="994"/>
      <c r="I166" s="1098"/>
      <c r="J166" s="1096"/>
      <c r="K166" s="1096"/>
      <c r="L166" s="1096"/>
      <c r="M166" s="1096"/>
      <c r="N166" s="1130"/>
      <c r="O166" s="1131">
        <f>IF(F166="",0,IFERROR(Y166*Z166,'Hidden Lists and Summaries'!$C$158))</f>
        <v>0</v>
      </c>
      <c r="P166" s="1132" t="s">
        <v>90</v>
      </c>
      <c r="Q166" s="1099"/>
      <c r="Y166" s="1781" t="e">
        <f>(AC166+AD166)*AB166</f>
        <v>#N/A</v>
      </c>
      <c r="Z166" s="1782" t="e">
        <f>VLOOKUP(G166,massConv[#All], 3, FALSE)*F166</f>
        <v>#N/A</v>
      </c>
      <c r="AA166" s="1782" t="e">
        <f>VLOOKUP(G166,massConv[#All], 3, FALSE)*E166</f>
        <v>#N/A</v>
      </c>
      <c r="AB166" s="1594" t="e">
        <f>VLOOKUP(H166,SteamProperties[#All],6,FALSE)</f>
        <v>#N/A</v>
      </c>
      <c r="AC166" s="1594">
        <f>'Key Values'!$C$209</f>
        <v>51.53</v>
      </c>
      <c r="AD166" s="1639">
        <f>IFERROR(VLOOKUP(iq_location,GaseousFuelEmbodiedEmissions[#All],IF(iq_metro,2,3),FALSE),0)</f>
        <v>0</v>
      </c>
      <c r="AE166" s="1584"/>
      <c r="AF166" s="1585"/>
      <c r="AG166" s="1579"/>
      <c r="AH166" s="1579"/>
      <c r="AI166" s="1579"/>
      <c r="AJ166" s="1579"/>
      <c r="AK166" s="1579"/>
      <c r="AL166" s="1579"/>
      <c r="AM166" s="1579"/>
    </row>
    <row r="167" spans="2:39" s="1069" customFormat="1" ht="15.65" customHeight="1" x14ac:dyDescent="0.25">
      <c r="B167" s="1095"/>
      <c r="C167" s="1113" t="s">
        <v>333</v>
      </c>
      <c r="D167" s="1096"/>
      <c r="E167" s="413"/>
      <c r="F167" s="421"/>
      <c r="G167" s="414"/>
      <c r="H167" s="995"/>
      <c r="I167" s="1098"/>
      <c r="J167" s="1096"/>
      <c r="K167" s="1096"/>
      <c r="L167" s="1096"/>
      <c r="M167" s="1096"/>
      <c r="N167" s="1130"/>
      <c r="O167" s="1131">
        <f>IF(F167="",0,IFERROR(Y167*Z167,'Hidden Lists and Summaries'!$C$158))</f>
        <v>0</v>
      </c>
      <c r="P167" s="1132" t="s">
        <v>90</v>
      </c>
      <c r="Q167" s="1099"/>
      <c r="Y167" s="1783" t="e">
        <f t="shared" ref="Y167:Y168" si="4">(AC167+AD167)*AB167</f>
        <v>#N/A</v>
      </c>
      <c r="Z167" s="1784" t="e">
        <f>VLOOKUP(G167,massConv[#All], 3, FALSE)*F167</f>
        <v>#N/A</v>
      </c>
      <c r="AA167" s="1784" t="e">
        <f>VLOOKUP(G167,massConv[#All], 3, FALSE)*E167</f>
        <v>#N/A</v>
      </c>
      <c r="AB167" s="1584" t="e">
        <f>VLOOKUP(H167,SteamProperties[#All],6,FALSE)</f>
        <v>#N/A</v>
      </c>
      <c r="AC167" s="1584">
        <f>'Key Values'!$C$209</f>
        <v>51.53</v>
      </c>
      <c r="AD167" s="1585">
        <f>IFERROR(VLOOKUP(iq_location,GaseousFuelEmbodiedEmissions[#All],IF(iq_metro,2,3),FALSE),0)</f>
        <v>0</v>
      </c>
      <c r="AE167" s="1584"/>
      <c r="AF167" s="1585"/>
      <c r="AG167" s="1579"/>
      <c r="AH167" s="1579"/>
      <c r="AI167" s="1579"/>
      <c r="AJ167" s="1579"/>
      <c r="AK167" s="1579"/>
      <c r="AL167" s="1579"/>
      <c r="AM167" s="1579"/>
    </row>
    <row r="168" spans="2:39" s="1069" customFormat="1" ht="15.65" customHeight="1" x14ac:dyDescent="0.25">
      <c r="B168" s="1095"/>
      <c r="C168" s="1113" t="s">
        <v>334</v>
      </c>
      <c r="D168" s="1096"/>
      <c r="E168" s="1050"/>
      <c r="F168" s="1051"/>
      <c r="G168" s="416"/>
      <c r="H168" s="996"/>
      <c r="I168" s="1098"/>
      <c r="J168" s="1096"/>
      <c r="K168" s="1096"/>
      <c r="L168" s="1096"/>
      <c r="M168" s="1096"/>
      <c r="N168" s="1130"/>
      <c r="O168" s="1131">
        <f>IF(F168="",0,IFERROR(Y168*Z168,'Hidden Lists and Summaries'!$C$158))</f>
        <v>0</v>
      </c>
      <c r="P168" s="1132" t="s">
        <v>90</v>
      </c>
      <c r="Q168" s="1099"/>
      <c r="Y168" s="1785" t="e">
        <f t="shared" si="4"/>
        <v>#N/A</v>
      </c>
      <c r="Z168" s="1786" t="e">
        <f>VLOOKUP(G168,massConv[#All], 3, FALSE)*F168</f>
        <v>#N/A</v>
      </c>
      <c r="AA168" s="1786" t="e">
        <f>VLOOKUP(G168,massConv[#All], 3, FALSE)*E168</f>
        <v>#N/A</v>
      </c>
      <c r="AB168" s="1610" t="e">
        <f>VLOOKUP(H168,SteamProperties[#All],6,FALSE)</f>
        <v>#N/A</v>
      </c>
      <c r="AC168" s="1610">
        <f>'Key Values'!$C$209</f>
        <v>51.53</v>
      </c>
      <c r="AD168" s="1655">
        <f>IFERROR(VLOOKUP(iq_location,GaseousFuelEmbodiedEmissions[#All],IF(iq_metro,2,3),FALSE),0)</f>
        <v>0</v>
      </c>
      <c r="AE168" s="1584"/>
      <c r="AF168" s="1585"/>
      <c r="AG168" s="1579"/>
      <c r="AH168" s="1579"/>
      <c r="AI168" s="1579"/>
      <c r="AJ168" s="1579"/>
      <c r="AK168" s="1579"/>
      <c r="AL168" s="1579"/>
      <c r="AM168" s="1579"/>
    </row>
    <row r="169" spans="2:39" s="1069" customFormat="1" ht="15.65" customHeight="1" x14ac:dyDescent="0.25">
      <c r="B169" s="1105"/>
      <c r="C169" s="1106"/>
      <c r="D169" s="1106"/>
      <c r="E169" s="1206"/>
      <c r="F169" s="1106"/>
      <c r="G169" s="1106"/>
      <c r="H169" s="1115"/>
      <c r="I169" s="1115"/>
      <c r="J169" s="1106"/>
      <c r="K169" s="1106"/>
      <c r="L169" s="1106"/>
      <c r="M169" s="1106"/>
      <c r="N169" s="1144" t="s">
        <v>120</v>
      </c>
      <c r="O169" s="1145">
        <f>SUM(O166:O168)</f>
        <v>0</v>
      </c>
      <c r="P169" s="1146" t="s">
        <v>90</v>
      </c>
      <c r="Q169" s="1107"/>
      <c r="Y169" s="1623"/>
      <c r="Z169" s="1584"/>
      <c r="AA169" s="1584"/>
      <c r="AB169" s="1584"/>
      <c r="AC169" s="1584"/>
      <c r="AD169" s="1584"/>
      <c r="AE169" s="1584"/>
      <c r="AF169" s="1585"/>
      <c r="AG169" s="1579"/>
      <c r="AH169" s="1579"/>
      <c r="AI169" s="1579"/>
      <c r="AJ169" s="1579"/>
      <c r="AK169" s="1579"/>
      <c r="AL169" s="1579"/>
      <c r="AM169" s="1579"/>
    </row>
    <row r="170" spans="2:39" s="1069" customFormat="1" ht="15.65" customHeight="1" x14ac:dyDescent="0.25">
      <c r="B170" s="1118"/>
      <c r="C170" s="1118"/>
      <c r="D170" s="1118"/>
      <c r="E170" s="1118"/>
      <c r="F170" s="1118"/>
      <c r="G170" s="1118"/>
      <c r="H170" s="1118"/>
      <c r="I170" s="1118"/>
      <c r="J170" s="1118"/>
      <c r="K170" s="1118"/>
      <c r="L170" s="1118"/>
      <c r="M170" s="1118"/>
      <c r="N170" s="1118"/>
      <c r="O170" s="1118"/>
      <c r="P170" s="1118"/>
      <c r="Q170" s="1118"/>
      <c r="Y170" s="1623"/>
      <c r="Z170" s="1584"/>
      <c r="AA170" s="1584"/>
      <c r="AB170" s="1584"/>
      <c r="AC170" s="1584"/>
      <c r="AD170" s="1584"/>
      <c r="AE170" s="1584"/>
      <c r="AF170" s="1585"/>
      <c r="AG170" s="1579"/>
      <c r="AH170" s="1579"/>
      <c r="AI170" s="1579"/>
      <c r="AJ170" s="1579"/>
      <c r="AK170" s="1579"/>
      <c r="AL170" s="1579"/>
      <c r="AM170" s="1579"/>
    </row>
    <row r="171" spans="2:39" s="1069" customFormat="1" ht="15.65" customHeight="1" x14ac:dyDescent="0.25">
      <c r="B171" s="1081"/>
      <c r="C171" s="1082"/>
      <c r="D171" s="1082"/>
      <c r="E171" s="1082"/>
      <c r="F171" s="1082"/>
      <c r="G171" s="1082"/>
      <c r="H171" s="1082"/>
      <c r="I171" s="1082"/>
      <c r="J171" s="1082"/>
      <c r="K171" s="1082"/>
      <c r="L171" s="1082"/>
      <c r="M171" s="1082"/>
      <c r="N171" s="1082"/>
      <c r="O171" s="1082"/>
      <c r="P171" s="1082"/>
      <c r="Q171" s="1083"/>
      <c r="Y171" s="1623"/>
      <c r="Z171" s="1584"/>
      <c r="AA171" s="1584"/>
      <c r="AB171" s="1584"/>
      <c r="AC171" s="1584"/>
      <c r="AD171" s="1584"/>
      <c r="AE171" s="1584"/>
      <c r="AF171" s="1585"/>
      <c r="AG171" s="1579"/>
      <c r="AH171" s="1579"/>
      <c r="AI171" s="1579"/>
      <c r="AJ171" s="1579"/>
      <c r="AK171" s="1579"/>
      <c r="AL171" s="1579"/>
      <c r="AM171" s="1579"/>
    </row>
    <row r="172" spans="2:39" s="1069" customFormat="1" ht="15.65" customHeight="1" x14ac:dyDescent="0.25">
      <c r="B172" s="1084"/>
      <c r="C172" s="1109" t="s">
        <v>343</v>
      </c>
      <c r="D172" s="1086"/>
      <c r="E172" s="1086"/>
      <c r="F172" s="1086"/>
      <c r="G172" s="1086"/>
      <c r="H172" s="1086"/>
      <c r="I172" s="1086"/>
      <c r="J172" s="1086"/>
      <c r="K172" s="1086"/>
      <c r="L172" s="1086"/>
      <c r="M172" s="1086"/>
      <c r="N172" s="1086"/>
      <c r="O172" s="1086"/>
      <c r="P172" s="1086"/>
      <c r="Q172" s="1087"/>
      <c r="Y172" s="1623"/>
      <c r="Z172" s="1584"/>
      <c r="AA172" s="1584"/>
      <c r="AB172" s="1584"/>
      <c r="AC172" s="1584"/>
      <c r="AD172" s="1584"/>
      <c r="AE172" s="1584"/>
      <c r="AF172" s="1585"/>
      <c r="AG172" s="1579"/>
      <c r="AH172" s="1579"/>
      <c r="AI172" s="1579"/>
      <c r="AJ172" s="1579"/>
      <c r="AK172" s="1579"/>
      <c r="AL172" s="1579"/>
      <c r="AM172" s="1579"/>
    </row>
    <row r="173" spans="2:39" s="1069" customFormat="1" ht="15.65" customHeight="1" x14ac:dyDescent="0.25">
      <c r="B173" s="1089"/>
      <c r="C173" s="1090"/>
      <c r="D173" s="1090"/>
      <c r="E173" s="1200" t="s">
        <v>336</v>
      </c>
      <c r="F173" s="1091" t="s">
        <v>337</v>
      </c>
      <c r="G173" s="1091" t="s">
        <v>184</v>
      </c>
      <c r="H173" s="1091" t="s">
        <v>344</v>
      </c>
      <c r="I173" s="1111"/>
      <c r="J173" s="1093"/>
      <c r="K173" s="1093"/>
      <c r="L173" s="1093"/>
      <c r="M173" s="1093"/>
      <c r="N173" s="1093"/>
      <c r="O173" s="1091" t="s">
        <v>323</v>
      </c>
      <c r="P173" s="1093"/>
      <c r="Q173" s="1112"/>
      <c r="Y173" s="1787" t="s">
        <v>340</v>
      </c>
      <c r="Z173" s="1787" t="s">
        <v>338</v>
      </c>
      <c r="AA173" s="1787" t="s">
        <v>345</v>
      </c>
      <c r="AB173" s="1787" t="s">
        <v>346</v>
      </c>
      <c r="AC173" s="1584"/>
      <c r="AD173" s="1584"/>
      <c r="AE173" s="1584"/>
      <c r="AF173" s="1585"/>
      <c r="AG173" s="1579"/>
      <c r="AH173" s="1579"/>
      <c r="AI173" s="1579"/>
      <c r="AJ173" s="1579"/>
      <c r="AK173" s="1579"/>
      <c r="AL173" s="1579"/>
      <c r="AM173" s="1579"/>
    </row>
    <row r="174" spans="2:39" s="1069" customFormat="1" ht="15.65" customHeight="1" x14ac:dyDescent="0.25">
      <c r="B174" s="1095"/>
      <c r="C174" s="1096"/>
      <c r="D174" s="1096"/>
      <c r="E174" s="1173"/>
      <c r="F174" s="1096"/>
      <c r="G174" s="1096"/>
      <c r="H174" s="1096"/>
      <c r="I174" s="1098"/>
      <c r="J174" s="1096"/>
      <c r="K174" s="1096"/>
      <c r="L174" s="1096"/>
      <c r="M174" s="1096"/>
      <c r="N174" s="1288"/>
      <c r="O174" s="1126" t="s">
        <v>325</v>
      </c>
      <c r="P174" s="1155"/>
      <c r="Q174" s="1099"/>
      <c r="Y174" s="1580" t="s">
        <v>347</v>
      </c>
      <c r="Z174" s="1580" t="s">
        <v>347</v>
      </c>
      <c r="AA174" s="1580"/>
      <c r="AB174" s="1580" t="s">
        <v>116</v>
      </c>
      <c r="AC174" s="1584"/>
      <c r="AD174" s="1584"/>
      <c r="AE174" s="1584"/>
      <c r="AF174" s="1585"/>
      <c r="AG174" s="1579"/>
      <c r="AH174" s="1579"/>
      <c r="AI174" s="1579"/>
      <c r="AJ174" s="1579"/>
      <c r="AK174" s="1579"/>
      <c r="AL174" s="1579"/>
      <c r="AM174" s="1579"/>
    </row>
    <row r="175" spans="2:39" s="1069" customFormat="1" ht="15.65" customHeight="1" x14ac:dyDescent="0.25">
      <c r="B175" s="1095"/>
      <c r="C175" s="469" t="s">
        <v>348</v>
      </c>
      <c r="D175" s="1202"/>
      <c r="E175" s="411"/>
      <c r="F175" s="357"/>
      <c r="G175" s="363"/>
      <c r="H175" s="927"/>
      <c r="I175" s="1098"/>
      <c r="J175" s="1096"/>
      <c r="K175" s="1096"/>
      <c r="L175" s="1096"/>
      <c r="M175" s="1096"/>
      <c r="N175" s="1130"/>
      <c r="O175" s="1131">
        <f>IFERROR(AB175,'Hidden Lists and Summaries'!$C$158)</f>
        <v>0</v>
      </c>
      <c r="P175" s="1132" t="s">
        <v>90</v>
      </c>
      <c r="Q175" s="1099"/>
      <c r="Y175" s="1637">
        <f>$E175</f>
        <v>0</v>
      </c>
      <c r="Z175" s="1594">
        <f>$F175</f>
        <v>0</v>
      </c>
      <c r="AA175" s="1594">
        <f>$G175</f>
        <v>0</v>
      </c>
      <c r="AB175" s="1639">
        <f>$H175</f>
        <v>0</v>
      </c>
      <c r="AC175" s="1584"/>
      <c r="AD175" s="1584"/>
      <c r="AE175" s="1584"/>
      <c r="AF175" s="1585"/>
      <c r="AG175" s="1579"/>
      <c r="AH175" s="1579"/>
      <c r="AI175" s="1579"/>
      <c r="AJ175" s="1579"/>
      <c r="AK175" s="1579"/>
      <c r="AL175" s="1579"/>
      <c r="AM175" s="1579"/>
    </row>
    <row r="176" spans="2:39" s="1069" customFormat="1" ht="15.65" customHeight="1" x14ac:dyDescent="0.25">
      <c r="B176" s="1095"/>
      <c r="C176" s="1068" t="s">
        <v>349</v>
      </c>
      <c r="D176" s="1202"/>
      <c r="E176" s="413"/>
      <c r="F176" s="398"/>
      <c r="G176" s="366"/>
      <c r="H176" s="928"/>
      <c r="I176" s="1098"/>
      <c r="J176" s="1096"/>
      <c r="K176" s="1096"/>
      <c r="L176" s="1096"/>
      <c r="M176" s="1096"/>
      <c r="N176" s="1130"/>
      <c r="O176" s="1131">
        <f>IFERROR(AB176,'Hidden Lists and Summaries'!$C$158)</f>
        <v>0</v>
      </c>
      <c r="P176" s="1132" t="s">
        <v>90</v>
      </c>
      <c r="Q176" s="1099"/>
      <c r="Y176" s="1623">
        <f t="shared" ref="Y176:Y177" si="5">$E176</f>
        <v>0</v>
      </c>
      <c r="Z176" s="1584">
        <f t="shared" ref="Z176:Z177" si="6">$F176</f>
        <v>0</v>
      </c>
      <c r="AA176" s="1584">
        <f t="shared" ref="AA176:AA177" si="7">$G176</f>
        <v>0</v>
      </c>
      <c r="AB176" s="1585">
        <f t="shared" ref="AB176:AB177" si="8">$H176</f>
        <v>0</v>
      </c>
      <c r="AC176" s="1584"/>
      <c r="AD176" s="1584"/>
      <c r="AE176" s="1584"/>
      <c r="AF176" s="1585"/>
      <c r="AG176" s="1579"/>
      <c r="AH176" s="1579"/>
      <c r="AI176" s="1579"/>
      <c r="AJ176" s="1579"/>
      <c r="AK176" s="1579"/>
      <c r="AL176" s="1579"/>
      <c r="AM176" s="1579"/>
    </row>
    <row r="177" spans="1:39" s="1069" customFormat="1" ht="15.65" customHeight="1" x14ac:dyDescent="0.25">
      <c r="B177" s="1095"/>
      <c r="C177" s="470" t="s">
        <v>350</v>
      </c>
      <c r="D177" s="1202"/>
      <c r="E177" s="415"/>
      <c r="F177" s="360"/>
      <c r="G177" s="442"/>
      <c r="H177" s="929"/>
      <c r="I177" s="1098"/>
      <c r="J177" s="1096"/>
      <c r="K177" s="1096"/>
      <c r="L177" s="1096"/>
      <c r="M177" s="1096"/>
      <c r="N177" s="1130"/>
      <c r="O177" s="1139">
        <f>IFERROR(AB177,'Hidden Lists and Summaries'!$C$158)</f>
        <v>0</v>
      </c>
      <c r="P177" s="1132" t="s">
        <v>90</v>
      </c>
      <c r="Q177" s="1099"/>
      <c r="Y177" s="1653">
        <f t="shared" si="5"/>
        <v>0</v>
      </c>
      <c r="Z177" s="1610">
        <f t="shared" si="6"/>
        <v>0</v>
      </c>
      <c r="AA177" s="1610">
        <f t="shared" si="7"/>
        <v>0</v>
      </c>
      <c r="AB177" s="1655">
        <f t="shared" si="8"/>
        <v>0</v>
      </c>
      <c r="AC177" s="1584"/>
      <c r="AD177" s="1584"/>
      <c r="AE177" s="1584"/>
      <c r="AF177" s="1585"/>
      <c r="AG177" s="1579"/>
      <c r="AH177" s="1579"/>
      <c r="AI177" s="1579"/>
      <c r="AJ177" s="1579"/>
      <c r="AK177" s="1579"/>
      <c r="AL177" s="1579"/>
      <c r="AM177" s="1579"/>
    </row>
    <row r="178" spans="1:39" s="1069" customFormat="1" ht="15.65" customHeight="1" x14ac:dyDescent="0.25">
      <c r="B178" s="1105"/>
      <c r="C178" s="1106"/>
      <c r="D178" s="1106"/>
      <c r="E178" s="1106"/>
      <c r="F178" s="1106"/>
      <c r="G178" s="1097"/>
      <c r="H178" s="1115"/>
      <c r="I178" s="1115"/>
      <c r="J178" s="1106"/>
      <c r="K178" s="1106"/>
      <c r="L178" s="1106"/>
      <c r="M178" s="1106"/>
      <c r="N178" s="1144" t="s">
        <v>120</v>
      </c>
      <c r="O178" s="1145">
        <f>SUM(O175:O177)</f>
        <v>0</v>
      </c>
      <c r="P178" s="1146" t="s">
        <v>90</v>
      </c>
      <c r="Q178" s="1107"/>
      <c r="Y178" s="1623"/>
      <c r="Z178" s="1584"/>
      <c r="AA178" s="1584"/>
      <c r="AB178" s="1584"/>
      <c r="AC178" s="1584"/>
      <c r="AD178" s="1584"/>
      <c r="AE178" s="1584"/>
      <c r="AF178" s="1585"/>
      <c r="AG178" s="1579"/>
      <c r="AH178" s="1579"/>
      <c r="AI178" s="1579"/>
      <c r="AJ178" s="1579"/>
      <c r="AK178" s="1579"/>
      <c r="AL178" s="1579"/>
      <c r="AM178" s="1579"/>
    </row>
    <row r="179" spans="1:39" s="1069" customFormat="1" ht="15.65" customHeight="1" x14ac:dyDescent="0.25">
      <c r="B179" s="1118"/>
      <c r="C179" s="1118"/>
      <c r="D179" s="1118"/>
      <c r="E179" s="1118"/>
      <c r="F179" s="1118"/>
      <c r="G179" s="1118"/>
      <c r="H179" s="1118"/>
      <c r="I179" s="1118"/>
      <c r="J179" s="1118"/>
      <c r="K179" s="1118"/>
      <c r="L179" s="1118"/>
      <c r="M179" s="1118"/>
      <c r="N179" s="1118"/>
      <c r="O179" s="1118"/>
      <c r="P179" s="1118"/>
      <c r="Q179" s="1118"/>
      <c r="Y179" s="1623"/>
      <c r="Z179" s="1584"/>
      <c r="AA179" s="1584"/>
      <c r="AB179" s="1584"/>
      <c r="AC179" s="1584"/>
      <c r="AD179" s="1584"/>
      <c r="AE179" s="1584"/>
      <c r="AF179" s="1585"/>
      <c r="AG179" s="1579"/>
      <c r="AH179" s="1579"/>
      <c r="AI179" s="1579"/>
      <c r="AJ179" s="1579"/>
      <c r="AK179" s="1579"/>
      <c r="AL179" s="1579"/>
      <c r="AM179" s="1579"/>
    </row>
    <row r="180" spans="1:39" s="1069" customFormat="1" ht="15.65" customHeight="1" x14ac:dyDescent="0.25">
      <c r="A180" s="1164"/>
      <c r="B180" s="1081"/>
      <c r="C180" s="1082"/>
      <c r="D180" s="1082"/>
      <c r="E180" s="1082"/>
      <c r="F180" s="1082"/>
      <c r="G180" s="1082"/>
      <c r="H180" s="1082"/>
      <c r="I180" s="1082"/>
      <c r="J180" s="1082"/>
      <c r="K180" s="1082"/>
      <c r="L180" s="1082"/>
      <c r="M180" s="1082"/>
      <c r="N180" s="1082"/>
      <c r="O180" s="1082"/>
      <c r="P180" s="1082"/>
      <c r="Q180" s="1083"/>
      <c r="Y180" s="1623"/>
      <c r="Z180" s="1584"/>
      <c r="AA180" s="1584"/>
      <c r="AB180" s="1584"/>
      <c r="AC180" s="1584"/>
      <c r="AD180" s="1584"/>
      <c r="AE180" s="1584"/>
      <c r="AF180" s="1585"/>
      <c r="AG180" s="1579"/>
      <c r="AH180" s="1579"/>
      <c r="AI180" s="1579"/>
      <c r="AJ180" s="1579"/>
      <c r="AK180" s="1579"/>
      <c r="AL180" s="1579"/>
      <c r="AM180" s="1579"/>
    </row>
    <row r="181" spans="1:39" s="1069" customFormat="1" ht="15.65" customHeight="1" x14ac:dyDescent="0.25">
      <c r="A181" s="1164"/>
      <c r="B181" s="1084"/>
      <c r="C181" s="1198" t="s">
        <v>351</v>
      </c>
      <c r="D181" s="1151"/>
      <c r="E181" s="1151"/>
      <c r="F181" s="1151"/>
      <c r="G181" s="1151"/>
      <c r="H181" s="1151"/>
      <c r="I181" s="1151"/>
      <c r="J181" s="1151"/>
      <c r="K181" s="1151"/>
      <c r="L181" s="1151"/>
      <c r="M181" s="1151"/>
      <c r="N181" s="1151"/>
      <c r="O181" s="1151"/>
      <c r="P181" s="1151"/>
      <c r="Q181" s="1087"/>
      <c r="Y181" s="1623"/>
      <c r="Z181" s="1584"/>
      <c r="AA181" s="1584"/>
      <c r="AB181" s="1584"/>
      <c r="AC181" s="1584"/>
      <c r="AD181" s="1584"/>
      <c r="AE181" s="1584"/>
      <c r="AF181" s="1585"/>
      <c r="AG181" s="1579"/>
      <c r="AH181" s="1579"/>
      <c r="AI181" s="1579"/>
      <c r="AJ181" s="1579"/>
      <c r="AK181" s="1579"/>
      <c r="AL181" s="1579"/>
      <c r="AM181" s="1579"/>
    </row>
    <row r="182" spans="1:39" s="1069" customFormat="1" ht="15.65" customHeight="1" x14ac:dyDescent="0.25">
      <c r="A182" s="1164"/>
      <c r="B182" s="1089"/>
      <c r="C182" s="1090"/>
      <c r="D182" s="1090"/>
      <c r="E182" s="1091" t="s">
        <v>352</v>
      </c>
      <c r="F182" s="1091" t="s">
        <v>353</v>
      </c>
      <c r="G182" s="1091" t="s">
        <v>184</v>
      </c>
      <c r="H182" s="1111"/>
      <c r="I182" s="1111"/>
      <c r="J182" s="1093"/>
      <c r="K182" s="1093"/>
      <c r="L182" s="1093"/>
      <c r="M182" s="1093"/>
      <c r="N182" s="1093"/>
      <c r="O182" s="1091" t="s">
        <v>82</v>
      </c>
      <c r="P182" s="1093"/>
      <c r="Q182" s="1112"/>
      <c r="Y182" s="1623"/>
      <c r="Z182" s="1584"/>
      <c r="AA182" s="1584"/>
      <c r="AB182" s="1584"/>
      <c r="AC182" s="1584"/>
      <c r="AD182" s="1584"/>
      <c r="AE182" s="1584"/>
      <c r="AF182" s="1585"/>
      <c r="AG182" s="1579"/>
      <c r="AH182" s="1579"/>
      <c r="AI182" s="1579"/>
      <c r="AJ182" s="1579"/>
      <c r="AK182" s="1579"/>
      <c r="AL182" s="1579"/>
      <c r="AM182" s="1579"/>
    </row>
    <row r="183" spans="1:39" s="1069" customFormat="1" ht="15.65" customHeight="1" x14ac:dyDescent="0.25">
      <c r="A183" s="1164"/>
      <c r="B183" s="1095"/>
      <c r="C183" s="1096"/>
      <c r="D183" s="1096"/>
      <c r="E183" s="1106"/>
      <c r="F183" s="1096"/>
      <c r="G183" s="1096"/>
      <c r="H183" s="1098"/>
      <c r="I183" s="1098"/>
      <c r="J183" s="1096"/>
      <c r="K183" s="1096"/>
      <c r="L183" s="1096"/>
      <c r="M183" s="1096"/>
      <c r="N183" s="1096"/>
      <c r="O183" s="1096"/>
      <c r="P183" s="1096"/>
      <c r="Q183" s="1099"/>
      <c r="Y183" s="1787" t="s">
        <v>354</v>
      </c>
      <c r="Z183" s="1584"/>
      <c r="AA183" s="1584"/>
      <c r="AB183" s="1584"/>
      <c r="AC183" s="1584"/>
      <c r="AD183" s="1584"/>
      <c r="AE183" s="1584"/>
      <c r="AF183" s="1585"/>
      <c r="AG183" s="1579"/>
      <c r="AH183" s="1579"/>
      <c r="AI183" s="1579"/>
      <c r="AJ183" s="1579"/>
      <c r="AK183" s="1579"/>
      <c r="AL183" s="1579"/>
      <c r="AM183" s="1579"/>
    </row>
    <row r="184" spans="1:39" s="1069" customFormat="1" ht="15.65" customHeight="1" x14ac:dyDescent="0.25">
      <c r="A184" s="1164"/>
      <c r="B184" s="1095"/>
      <c r="C184" s="1096" t="s">
        <v>355</v>
      </c>
      <c r="D184" s="1096"/>
      <c r="E184" s="361"/>
      <c r="F184" s="349"/>
      <c r="G184" s="1318" t="s">
        <v>183</v>
      </c>
      <c r="H184" s="1098"/>
      <c r="I184" s="1098"/>
      <c r="J184" s="1096"/>
      <c r="K184" s="1096"/>
      <c r="L184" s="1096"/>
      <c r="M184" s="1096"/>
      <c r="N184" s="1096"/>
      <c r="O184" s="1096"/>
      <c r="P184" s="1096"/>
      <c r="Q184" s="1099"/>
      <c r="Y184" s="1738" t="s">
        <v>116</v>
      </c>
      <c r="Z184" s="1584"/>
      <c r="AA184" s="1584"/>
      <c r="AB184" s="1584"/>
      <c r="AC184" s="1584"/>
      <c r="AD184" s="1584"/>
      <c r="AE184" s="1584"/>
      <c r="AF184" s="1585"/>
      <c r="AG184" s="1579"/>
      <c r="AH184" s="1579"/>
      <c r="AI184" s="1579"/>
      <c r="AJ184" s="1579"/>
      <c r="AK184" s="1579"/>
      <c r="AL184" s="1579"/>
      <c r="AM184" s="1579"/>
    </row>
    <row r="185" spans="1:39" s="1069" customFormat="1" ht="15.65" customHeight="1" x14ac:dyDescent="0.25">
      <c r="A185" s="1164"/>
      <c r="B185" s="1095"/>
      <c r="C185" s="1113" t="s">
        <v>356</v>
      </c>
      <c r="D185" s="1096"/>
      <c r="E185" s="370"/>
      <c r="F185" s="571"/>
      <c r="G185" s="1319" t="s">
        <v>183</v>
      </c>
      <c r="H185" s="1098"/>
      <c r="I185" s="1098"/>
      <c r="J185" s="1096"/>
      <c r="K185" s="1096"/>
      <c r="L185" s="1096"/>
      <c r="M185" s="1096"/>
      <c r="N185" s="1182"/>
      <c r="O185" s="1183">
        <f>IF(F185="",0,IFERROR(Y185,'Hidden Lists and Summaries'!$C$158))</f>
        <v>0</v>
      </c>
      <c r="P185" s="1184" t="s">
        <v>90</v>
      </c>
      <c r="Q185" s="1099"/>
      <c r="Y185" s="1788">
        <f>F185*VLOOKUP(G185,massConv[#All],3,FALSE)</f>
        <v>0</v>
      </c>
      <c r="Z185" s="1584"/>
      <c r="AA185" s="1584"/>
      <c r="AB185" s="1584"/>
      <c r="AC185" s="1584"/>
      <c r="AD185" s="1584"/>
      <c r="AE185" s="1584"/>
      <c r="AF185" s="1585"/>
      <c r="AG185" s="1579"/>
      <c r="AH185" s="1579"/>
      <c r="AI185" s="1579"/>
      <c r="AJ185" s="1579"/>
      <c r="AK185" s="1579"/>
      <c r="AL185" s="1579"/>
      <c r="AM185" s="1579"/>
    </row>
    <row r="186" spans="1:39" s="1069" customFormat="1" ht="15.65" customHeight="1" x14ac:dyDescent="0.25">
      <c r="A186" s="1164"/>
      <c r="B186" s="1105"/>
      <c r="C186" s="1106"/>
      <c r="D186" s="1106"/>
      <c r="E186" s="1106"/>
      <c r="F186" s="1106"/>
      <c r="G186" s="1106"/>
      <c r="H186" s="1115"/>
      <c r="I186" s="1115"/>
      <c r="J186" s="1106"/>
      <c r="K186" s="1106"/>
      <c r="L186" s="1106"/>
      <c r="M186" s="1106"/>
      <c r="N186" s="1144" t="s">
        <v>120</v>
      </c>
      <c r="O186" s="1145">
        <f>SUM(O185)</f>
        <v>0</v>
      </c>
      <c r="P186" s="1146" t="s">
        <v>90</v>
      </c>
      <c r="Q186" s="1107"/>
      <c r="Y186" s="1623"/>
      <c r="Z186" s="1584"/>
      <c r="AA186" s="1584"/>
      <c r="AB186" s="1584"/>
      <c r="AC186" s="1584"/>
      <c r="AD186" s="1584"/>
      <c r="AE186" s="1584"/>
      <c r="AF186" s="1585"/>
      <c r="AG186" s="1579"/>
      <c r="AH186" s="1579"/>
      <c r="AI186" s="1579"/>
      <c r="AJ186" s="1579"/>
      <c r="AK186" s="1579"/>
      <c r="AL186" s="1579"/>
      <c r="AM186" s="1579"/>
    </row>
    <row r="187" spans="1:39" s="1303" customFormat="1" ht="15.65" customHeight="1" x14ac:dyDescent="0.25">
      <c r="B187" s="1304"/>
      <c r="C187" s="1304"/>
      <c r="D187" s="1304"/>
      <c r="E187" s="1304"/>
      <c r="F187" s="1304"/>
      <c r="G187" s="1304"/>
      <c r="H187" s="1305"/>
      <c r="I187" s="1305"/>
      <c r="J187" s="1304"/>
      <c r="K187" s="1304"/>
      <c r="L187" s="1304"/>
      <c r="M187" s="1304"/>
      <c r="N187" s="1306"/>
      <c r="O187" s="1304"/>
      <c r="P187" s="1304"/>
      <c r="Q187" s="1304"/>
      <c r="Y187" s="1789"/>
      <c r="Z187" s="1790"/>
      <c r="AA187" s="1790"/>
      <c r="AB187" s="1790"/>
      <c r="AC187" s="1790"/>
      <c r="AD187" s="1790"/>
      <c r="AE187" s="1790"/>
      <c r="AF187" s="1791"/>
      <c r="AG187" s="1792"/>
      <c r="AH187" s="1792"/>
      <c r="AI187" s="1792"/>
      <c r="AJ187" s="1792"/>
      <c r="AK187" s="1792"/>
      <c r="AL187" s="1792"/>
      <c r="AM187" s="1792"/>
    </row>
    <row r="188" spans="1:39" s="1303" customFormat="1" ht="15.65" customHeight="1" x14ac:dyDescent="0.25">
      <c r="B188" s="1309" t="str">
        <f>IF(H218&lt;0,"NOTE: Reductions and co-allocations exceed operational emissions. Excess reductions and Co-Allocations equivalent to " &amp; ROUND(-H218,4) &amp;"kg CO2-e","")</f>
        <v/>
      </c>
      <c r="C188" s="1304"/>
      <c r="D188" s="1304"/>
      <c r="E188" s="1304"/>
      <c r="F188" s="1304"/>
      <c r="G188" s="1304"/>
      <c r="H188" s="1305"/>
      <c r="I188" s="1305"/>
      <c r="J188" s="1304"/>
      <c r="K188" s="1304"/>
      <c r="L188" s="1304"/>
      <c r="M188" s="1304"/>
      <c r="N188" s="1306"/>
      <c r="O188" s="1304"/>
      <c r="P188" s="1304"/>
      <c r="Q188" s="1304"/>
      <c r="Y188" s="1789"/>
      <c r="Z188" s="1790"/>
      <c r="AA188" s="1790"/>
      <c r="AB188" s="1790"/>
      <c r="AC188" s="1790"/>
      <c r="AD188" s="1790"/>
      <c r="AE188" s="1790"/>
      <c r="AF188" s="1791"/>
      <c r="AG188" s="1792"/>
      <c r="AH188" s="1792"/>
      <c r="AI188" s="1792"/>
      <c r="AJ188" s="1792"/>
      <c r="AK188" s="1792"/>
      <c r="AL188" s="1792"/>
      <c r="AM188" s="1792"/>
    </row>
    <row r="189" spans="1:39" s="1303" customFormat="1" ht="15.65" customHeight="1" x14ac:dyDescent="0.25">
      <c r="B189" s="1304"/>
      <c r="C189" s="1304"/>
      <c r="D189" s="1304"/>
      <c r="E189" s="1304"/>
      <c r="F189" s="1304"/>
      <c r="G189" s="1304"/>
      <c r="H189" s="1305"/>
      <c r="I189" s="1305"/>
      <c r="J189" s="1304"/>
      <c r="K189" s="1304"/>
      <c r="L189" s="1304"/>
      <c r="M189" s="1304"/>
      <c r="N189" s="1306"/>
      <c r="O189" s="1304"/>
      <c r="P189" s="1304"/>
      <c r="Q189" s="1304"/>
      <c r="Y189" s="1789"/>
      <c r="Z189" s="1790"/>
      <c r="AA189" s="1790"/>
      <c r="AB189" s="1790"/>
      <c r="AC189" s="1790"/>
      <c r="AD189" s="1790"/>
      <c r="AE189" s="1790"/>
      <c r="AF189" s="1791"/>
      <c r="AG189" s="1792"/>
      <c r="AH189" s="1792"/>
      <c r="AI189" s="1792"/>
      <c r="AJ189" s="1792"/>
      <c r="AK189" s="1792"/>
      <c r="AL189" s="1792"/>
      <c r="AM189" s="1792"/>
    </row>
    <row r="190" spans="1:39" s="1069" customFormat="1" ht="15.65" hidden="1" customHeight="1" x14ac:dyDescent="0.25">
      <c r="B190" s="1070"/>
      <c r="C190" s="1070"/>
      <c r="D190" s="1070"/>
      <c r="E190" s="1070"/>
      <c r="F190" s="1070"/>
      <c r="G190" s="1070"/>
      <c r="H190" s="1070"/>
      <c r="I190" s="1070"/>
      <c r="J190" s="1070"/>
      <c r="K190" s="1070"/>
      <c r="L190" s="1070"/>
      <c r="M190" s="1070"/>
      <c r="N190" s="1070"/>
      <c r="O190" s="1070"/>
      <c r="P190" s="1070"/>
      <c r="Q190" s="1070"/>
      <c r="Y190" s="1623"/>
      <c r="Z190" s="1584"/>
      <c r="AA190" s="1584"/>
      <c r="AB190" s="1584"/>
      <c r="AC190" s="1584"/>
      <c r="AD190" s="1584"/>
      <c r="AE190" s="1584"/>
      <c r="AF190" s="1585"/>
      <c r="AG190" s="1579"/>
      <c r="AH190" s="1579"/>
      <c r="AI190" s="1579"/>
      <c r="AJ190" s="1579"/>
      <c r="AK190" s="1579"/>
      <c r="AL190" s="1579"/>
      <c r="AM190" s="1579"/>
    </row>
    <row r="191" spans="1:39" s="1069" customFormat="1" ht="15.65" hidden="1" customHeight="1" x14ac:dyDescent="0.25">
      <c r="B191" s="1070"/>
      <c r="C191" s="1074" t="s">
        <v>357</v>
      </c>
      <c r="D191" s="1070"/>
      <c r="E191" s="1070"/>
      <c r="F191" s="1070"/>
      <c r="G191" s="1070"/>
      <c r="H191" s="1070"/>
      <c r="I191" s="1070"/>
      <c r="J191" s="1070"/>
      <c r="K191" s="1070"/>
      <c r="L191" s="1070"/>
      <c r="M191" s="1070"/>
      <c r="N191" s="1070"/>
      <c r="O191" s="1070"/>
      <c r="P191" s="1070"/>
      <c r="Q191" s="1070"/>
      <c r="Y191" s="1623"/>
      <c r="Z191" s="1584"/>
      <c r="AA191" s="1584"/>
      <c r="AB191" s="1584"/>
      <c r="AC191" s="1584"/>
      <c r="AD191" s="1584"/>
      <c r="AE191" s="1584"/>
      <c r="AF191" s="1585"/>
      <c r="AG191" s="1579"/>
      <c r="AH191" s="1579"/>
      <c r="AI191" s="1579"/>
      <c r="AJ191" s="1579"/>
      <c r="AK191" s="1579"/>
      <c r="AL191" s="1579"/>
      <c r="AM191" s="1579"/>
    </row>
    <row r="192" spans="1:39" s="1069" customFormat="1" ht="15.65" hidden="1" customHeight="1" x14ac:dyDescent="0.25">
      <c r="B192" s="1070"/>
      <c r="C192" s="1070"/>
      <c r="D192" s="1070"/>
      <c r="E192" s="1070"/>
      <c r="F192" s="1070"/>
      <c r="G192" s="1070"/>
      <c r="H192" s="1070"/>
      <c r="I192" s="1070"/>
      <c r="J192" s="1070"/>
      <c r="K192" s="1070"/>
      <c r="L192" s="1070"/>
      <c r="M192" s="1070"/>
      <c r="N192" s="1070"/>
      <c r="O192" s="1070"/>
      <c r="P192" s="1070"/>
      <c r="Q192" s="1070"/>
      <c r="Y192" s="1623"/>
      <c r="Z192" s="1584"/>
      <c r="AA192" s="1584"/>
      <c r="AB192" s="1584"/>
      <c r="AC192" s="1584"/>
      <c r="AD192" s="1584"/>
      <c r="AE192" s="1584"/>
      <c r="AF192" s="1585"/>
      <c r="AG192" s="1579"/>
      <c r="AH192" s="1579"/>
      <c r="AI192" s="1579"/>
      <c r="AJ192" s="1579"/>
      <c r="AK192" s="1579"/>
      <c r="AL192" s="1579"/>
      <c r="AM192" s="1579"/>
    </row>
    <row r="193" spans="2:39" s="1069" customFormat="1" ht="15.65" hidden="1" customHeight="1" x14ac:dyDescent="0.25">
      <c r="B193" s="1118"/>
      <c r="C193" s="1118"/>
      <c r="D193" s="1118"/>
      <c r="E193" s="1118"/>
      <c r="F193" s="1118"/>
      <c r="G193" s="1118"/>
      <c r="H193" s="1118"/>
      <c r="I193" s="1118"/>
      <c r="J193" s="1118"/>
      <c r="K193" s="1118"/>
      <c r="L193" s="1118"/>
      <c r="M193" s="1118"/>
      <c r="N193" s="1118"/>
      <c r="O193" s="1118"/>
      <c r="P193" s="1118"/>
      <c r="Q193" s="1118"/>
      <c r="Y193" s="1623"/>
      <c r="Z193" s="1584"/>
      <c r="AA193" s="1584"/>
      <c r="AB193" s="1584"/>
      <c r="AC193" s="1584"/>
      <c r="AD193" s="1584"/>
      <c r="AE193" s="1584"/>
      <c r="AF193" s="1585"/>
      <c r="AG193" s="1579"/>
      <c r="AH193" s="1579"/>
      <c r="AI193" s="1579"/>
      <c r="AJ193" s="1579"/>
      <c r="AK193" s="1579"/>
      <c r="AL193" s="1579"/>
      <c r="AM193" s="1579"/>
    </row>
    <row r="194" spans="2:39" s="1069" customFormat="1" ht="15.65" hidden="1" customHeight="1" x14ac:dyDescent="0.25">
      <c r="B194"/>
      <c r="C194"/>
      <c r="D194"/>
      <c r="E194" s="1121" t="s">
        <v>358</v>
      </c>
      <c r="F194" s="1121" t="s">
        <v>359</v>
      </c>
      <c r="G194" s="1121" t="s">
        <v>360</v>
      </c>
      <c r="H194" s="1121" t="s">
        <v>361</v>
      </c>
      <c r="I194" s="1121" t="s">
        <v>362</v>
      </c>
      <c r="N194"/>
      <c r="O194"/>
      <c r="P194"/>
      <c r="Y194" s="1623"/>
      <c r="Z194" s="1584"/>
      <c r="AA194" s="1584"/>
      <c r="AB194" s="1584"/>
      <c r="AC194" s="1584"/>
      <c r="AD194" s="1584"/>
      <c r="AE194" s="1584"/>
      <c r="AF194" s="1585"/>
      <c r="AG194" s="1579"/>
      <c r="AH194" s="1579"/>
      <c r="AI194" s="1579"/>
      <c r="AJ194" s="1579"/>
      <c r="AK194" s="1579"/>
      <c r="AL194" s="1579"/>
      <c r="AM194" s="1579"/>
    </row>
    <row r="195" spans="2:39" s="1069" customFormat="1" ht="15.65" hidden="1" customHeight="1" x14ac:dyDescent="0.25">
      <c r="B195"/>
      <c r="C195"/>
      <c r="D195"/>
      <c r="E195" t="s">
        <v>568</v>
      </c>
      <c r="F195" t="s">
        <v>364</v>
      </c>
      <c r="G195"/>
      <c r="H195">
        <f>IFERROR(SUMIF(reformingEmissionsBreakdown[Major category],'Hidden Lists and Summaries'!$B$5,reformingEmissionsBreakdown[Emissions (kg CO2-e)]), 'Hidden Lists and Summaries'!$C$158)</f>
        <v>0</v>
      </c>
      <c r="I195" t="s">
        <v>90</v>
      </c>
      <c r="N195"/>
      <c r="O195"/>
      <c r="P195"/>
      <c r="Y195" s="1623"/>
      <c r="Z195" s="1584"/>
      <c r="AA195" s="1584"/>
      <c r="AB195" s="1584"/>
      <c r="AC195" s="1584"/>
      <c r="AD195" s="1584"/>
      <c r="AE195" s="1584"/>
      <c r="AF195" s="1585"/>
      <c r="AG195" s="1579"/>
      <c r="AH195" s="1579"/>
      <c r="AI195" s="1579"/>
      <c r="AJ195" s="1579"/>
      <c r="AK195" s="1579"/>
      <c r="AL195" s="1579"/>
      <c r="AM195" s="1579"/>
    </row>
    <row r="196" spans="2:39" s="1069" customFormat="1" ht="15.65" hidden="1" customHeight="1" x14ac:dyDescent="0.25">
      <c r="B196"/>
      <c r="C196"/>
      <c r="D196"/>
      <c r="E196" t="s">
        <v>568</v>
      </c>
      <c r="F196" t="s">
        <v>365</v>
      </c>
      <c r="G196"/>
      <c r="H196">
        <f>IFERROR(H331, 'Hidden Lists and Summaries'!$C$158)</f>
        <v>0</v>
      </c>
      <c r="I196" t="s">
        <v>90</v>
      </c>
      <c r="N196"/>
      <c r="O196"/>
      <c r="P196"/>
      <c r="Y196" s="1625"/>
      <c r="Z196" s="1793"/>
      <c r="AA196" s="1584"/>
      <c r="AB196" s="1584"/>
      <c r="AC196" s="1584"/>
      <c r="AD196" s="1584"/>
      <c r="AE196" s="1584"/>
      <c r="AF196" s="1585"/>
      <c r="AG196" s="1579"/>
      <c r="AH196" s="1579"/>
      <c r="AI196" s="1579"/>
      <c r="AJ196" s="1579"/>
      <c r="AK196" s="1579"/>
      <c r="AL196" s="1579"/>
      <c r="AM196" s="1579"/>
    </row>
    <row r="197" spans="2:39" s="1069" customFormat="1" ht="15.65" hidden="1" customHeight="1" x14ac:dyDescent="0.25">
      <c r="B197"/>
      <c r="C197"/>
      <c r="D197"/>
      <c r="E197" t="s">
        <v>568</v>
      </c>
      <c r="F197" t="s">
        <v>366</v>
      </c>
      <c r="G197"/>
      <c r="H197">
        <f>IFERROR(H332, 'Hidden Lists and Summaries'!$C$158)</f>
        <v>0</v>
      </c>
      <c r="I197" t="s">
        <v>90</v>
      </c>
      <c r="N197"/>
      <c r="O197"/>
      <c r="P197"/>
      <c r="Y197" s="1625"/>
      <c r="Z197" s="1584"/>
      <c r="AA197" s="1584"/>
      <c r="AB197" s="1584"/>
      <c r="AC197" s="1584"/>
      <c r="AD197" s="1584"/>
      <c r="AE197" s="1584"/>
      <c r="AF197" s="1585"/>
      <c r="AG197" s="1579"/>
      <c r="AH197" s="1579"/>
      <c r="AI197" s="1579"/>
      <c r="AJ197" s="1579"/>
      <c r="AK197" s="1579"/>
      <c r="AL197" s="1579"/>
      <c r="AM197" s="1579"/>
    </row>
    <row r="198" spans="2:39" s="1069" customFormat="1" ht="15.65" hidden="1" customHeight="1" x14ac:dyDescent="0.25">
      <c r="B198"/>
      <c r="C198"/>
      <c r="D198"/>
      <c r="E198" t="s">
        <v>568</v>
      </c>
      <c r="F198" t="s">
        <v>118</v>
      </c>
      <c r="G198"/>
      <c r="H198">
        <f>IFERROR(H333, 'Hidden Lists and Summaries'!$C$158)</f>
        <v>0</v>
      </c>
      <c r="I198" t="s">
        <v>90</v>
      </c>
      <c r="N198"/>
      <c r="O198"/>
      <c r="P198"/>
      <c r="Y198" s="1625"/>
      <c r="Z198" s="1584"/>
      <c r="AA198" s="1584"/>
      <c r="AB198" s="1584"/>
      <c r="AC198" s="1584"/>
      <c r="AD198" s="1584"/>
      <c r="AE198" s="1584"/>
      <c r="AF198" s="1585"/>
      <c r="AG198" s="1579"/>
      <c r="AH198" s="1579"/>
      <c r="AI198" s="1579"/>
      <c r="AJ198" s="1579"/>
      <c r="AK198" s="1579"/>
      <c r="AL198" s="1579"/>
      <c r="AM198" s="1579"/>
    </row>
    <row r="199" spans="2:39" s="1069" customFormat="1" ht="15.65" hidden="1" customHeight="1" x14ac:dyDescent="0.25">
      <c r="B199"/>
      <c r="C199"/>
      <c r="D199"/>
      <c r="E199" t="s">
        <v>568</v>
      </c>
      <c r="F199" t="s">
        <v>367</v>
      </c>
      <c r="G199"/>
      <c r="H199">
        <f>IFERROR(H334, 'Hidden Lists and Summaries'!$C$158)</f>
        <v>0</v>
      </c>
      <c r="I199" t="s">
        <v>90</v>
      </c>
      <c r="N199"/>
      <c r="O199"/>
      <c r="P199"/>
      <c r="Y199" s="1625"/>
      <c r="Z199" s="1584"/>
      <c r="AA199" s="1584"/>
      <c r="AB199" s="1584"/>
      <c r="AC199" s="1584"/>
      <c r="AD199" s="1584"/>
      <c r="AE199" s="1584"/>
      <c r="AF199" s="1585"/>
      <c r="AG199" s="1579"/>
      <c r="AH199" s="1579"/>
      <c r="AI199" s="1579"/>
      <c r="AJ199" s="1579"/>
      <c r="AK199" s="1579"/>
      <c r="AL199" s="1579"/>
      <c r="AM199" s="1579"/>
    </row>
    <row r="200" spans="2:39" s="1069" customFormat="1" ht="15.65" hidden="1" customHeight="1" x14ac:dyDescent="0.25">
      <c r="B200"/>
      <c r="C200"/>
      <c r="D200"/>
      <c r="E200" t="s">
        <v>568</v>
      </c>
      <c r="F200" t="s">
        <v>368</v>
      </c>
      <c r="G200"/>
      <c r="H200" t="str">
        <f>IFERROR(H336, 'Hidden Lists and Summaries'!$C$158)</f>
        <v>Error -  Review inputs</v>
      </c>
      <c r="I200" t="s">
        <v>90</v>
      </c>
      <c r="N200"/>
      <c r="O200"/>
      <c r="P200"/>
      <c r="Y200" s="1625"/>
      <c r="Z200" s="1584"/>
      <c r="AA200" s="1584"/>
      <c r="AB200" s="1584"/>
      <c r="AC200" s="1584"/>
      <c r="AD200" s="1584"/>
      <c r="AE200" s="1584"/>
      <c r="AF200" s="1585"/>
      <c r="AG200" s="1579"/>
      <c r="AH200" s="1579"/>
      <c r="AI200" s="1579"/>
      <c r="AJ200" s="1579"/>
      <c r="AK200" s="1579"/>
      <c r="AL200" s="1579"/>
      <c r="AM200" s="1579"/>
    </row>
    <row r="201" spans="2:39" s="1069" customFormat="1" hidden="1" x14ac:dyDescent="0.25">
      <c r="B201"/>
      <c r="C201"/>
      <c r="D201"/>
      <c r="E201" t="s">
        <v>568</v>
      </c>
      <c r="F201" t="s">
        <v>370</v>
      </c>
      <c r="G201"/>
      <c r="H201">
        <f>IFERROR(SUM(H195:H200),'Hidden Lists and Summaries'!$C$158)</f>
        <v>0</v>
      </c>
      <c r="I201" t="s">
        <v>90</v>
      </c>
      <c r="N201"/>
      <c r="O201"/>
      <c r="P201"/>
      <c r="Y201" s="1625"/>
      <c r="Z201" s="1584"/>
      <c r="AA201" s="1584"/>
      <c r="AB201" s="1584"/>
      <c r="AC201" s="1584"/>
      <c r="AD201" s="1584"/>
      <c r="AE201" s="1584"/>
      <c r="AF201" s="1585"/>
      <c r="AG201" s="1579"/>
      <c r="AH201" s="1579"/>
      <c r="AI201" s="1579"/>
      <c r="AJ201" s="1579"/>
      <c r="AK201" s="1579"/>
      <c r="AL201" s="1579"/>
      <c r="AM201" s="1579"/>
    </row>
    <row r="202" spans="2:39" s="1069" customFormat="1" hidden="1" x14ac:dyDescent="0.25">
      <c r="B202"/>
      <c r="C202"/>
      <c r="D202"/>
      <c r="E202" t="s">
        <v>568</v>
      </c>
      <c r="F202" t="s">
        <v>371</v>
      </c>
      <c r="G202"/>
      <c r="H202" t="str">
        <f>IFERROR(H201/(reforming_hydrogenProductionQuantity*1000),'Hidden Lists and Summaries'!$C$158)</f>
        <v>Error -  Review inputs</v>
      </c>
      <c r="I202" t="s">
        <v>372</v>
      </c>
      <c r="N202"/>
      <c r="O202"/>
      <c r="P202"/>
      <c r="Y202" s="1625"/>
      <c r="Z202" s="1584"/>
      <c r="AA202" s="1584"/>
      <c r="AB202" s="1584"/>
      <c r="AC202" s="1584"/>
      <c r="AD202" s="1584"/>
      <c r="AE202" s="1584"/>
      <c r="AF202" s="1585"/>
      <c r="AG202" s="1579"/>
      <c r="AH202" s="1579"/>
      <c r="AI202" s="1579"/>
      <c r="AJ202" s="1579"/>
      <c r="AK202" s="1579"/>
      <c r="AL202" s="1579"/>
      <c r="AM202" s="1579"/>
    </row>
    <row r="203" spans="2:39" s="1069" customFormat="1" hidden="1" x14ac:dyDescent="0.25">
      <c r="B203"/>
      <c r="C203"/>
      <c r="D203"/>
      <c r="E203" t="s">
        <v>568</v>
      </c>
      <c r="F203" t="s">
        <v>373</v>
      </c>
      <c r="G203"/>
      <c r="H203">
        <f>IFERROR(H337,'Hidden Lists and Summaries'!$C$158)</f>
        <v>0</v>
      </c>
      <c r="I203" t="s">
        <v>90</v>
      </c>
      <c r="N203"/>
      <c r="O203"/>
      <c r="P203"/>
      <c r="Y203" s="1625"/>
      <c r="Z203" s="1584"/>
      <c r="AA203" s="1584"/>
      <c r="AB203" s="1584"/>
      <c r="AC203" s="1584"/>
      <c r="AD203" s="1584"/>
      <c r="AE203" s="1584"/>
      <c r="AF203" s="1585"/>
      <c r="AG203" s="1579"/>
      <c r="AH203" s="1579"/>
      <c r="AI203" s="1579"/>
      <c r="AJ203" s="1579"/>
      <c r="AK203" s="1579"/>
      <c r="AL203" s="1579"/>
      <c r="AM203" s="1579"/>
    </row>
    <row r="204" spans="2:39" s="1069" customFormat="1" hidden="1" x14ac:dyDescent="0.25">
      <c r="B204"/>
      <c r="C204"/>
      <c r="D204"/>
      <c r="E204" t="s">
        <v>568</v>
      </c>
      <c r="F204" t="s">
        <v>374</v>
      </c>
      <c r="G204"/>
      <c r="H204">
        <f>IFERROR(H338,'Hidden Lists and Summaries'!$C$158)</f>
        <v>0</v>
      </c>
      <c r="I204" t="s">
        <v>90</v>
      </c>
      <c r="N204"/>
      <c r="O204"/>
      <c r="P204"/>
      <c r="Y204" s="1623"/>
      <c r="Z204" s="1584"/>
      <c r="AA204" s="1584"/>
      <c r="AB204" s="1584"/>
      <c r="AC204" s="1584"/>
      <c r="AD204" s="1584"/>
      <c r="AE204" s="1584"/>
      <c r="AF204" s="1585"/>
      <c r="AG204" s="1579"/>
      <c r="AH204" s="1579"/>
      <c r="AI204" s="1579"/>
      <c r="AJ204" s="1579"/>
      <c r="AK204" s="1579"/>
      <c r="AL204" s="1579"/>
      <c r="AM204" s="1579"/>
    </row>
    <row r="205" spans="2:39" s="1069" customFormat="1" ht="15.65" hidden="1" customHeight="1" x14ac:dyDescent="0.25">
      <c r="B205"/>
      <c r="C205"/>
      <c r="D205"/>
      <c r="E205" t="s">
        <v>568</v>
      </c>
      <c r="F205" t="s">
        <v>375</v>
      </c>
      <c r="G205"/>
      <c r="H205">
        <f>IFERROR(H339,'Hidden Lists and Summaries'!$C$158)</f>
        <v>0</v>
      </c>
      <c r="I205" t="s">
        <v>90</v>
      </c>
      <c r="N205"/>
      <c r="O205"/>
      <c r="P205"/>
      <c r="Y205" s="1623"/>
      <c r="Z205" s="1584"/>
      <c r="AA205" s="1584"/>
      <c r="AB205" s="1584"/>
      <c r="AC205" s="1584"/>
      <c r="AD205" s="1584"/>
      <c r="AE205" s="1584"/>
      <c r="AF205" s="1585"/>
      <c r="AG205" s="1579"/>
      <c r="AH205" s="1579"/>
      <c r="AI205" s="1579"/>
      <c r="AJ205" s="1579"/>
      <c r="AK205" s="1579"/>
      <c r="AL205" s="1579"/>
      <c r="AM205" s="1579"/>
    </row>
    <row r="206" spans="2:39" s="1069" customFormat="1" ht="15.65" hidden="1" customHeight="1" x14ac:dyDescent="0.25">
      <c r="B206"/>
      <c r="C206"/>
      <c r="D206"/>
      <c r="E206" t="s">
        <v>568</v>
      </c>
      <c r="F206" t="s">
        <v>490</v>
      </c>
      <c r="G206"/>
      <c r="H206">
        <f>IFERROR(H341,'Hidden Lists and Summaries'!$C$158)*0</f>
        <v>0</v>
      </c>
      <c r="I206" t="s">
        <v>90</v>
      </c>
      <c r="N206"/>
      <c r="O206"/>
      <c r="P206"/>
      <c r="Y206" s="1794"/>
      <c r="Z206" s="1584"/>
      <c r="AA206" s="1584"/>
      <c r="AB206" s="1584"/>
      <c r="AC206" s="1584"/>
      <c r="AD206" s="1584"/>
      <c r="AE206" s="1584"/>
      <c r="AF206" s="1585"/>
      <c r="AG206" s="1579"/>
      <c r="AH206" s="1579"/>
      <c r="AI206" s="1579"/>
      <c r="AJ206" s="1579"/>
      <c r="AK206" s="1579"/>
      <c r="AL206" s="1579"/>
      <c r="AM206" s="1579"/>
    </row>
    <row r="207" spans="2:39" s="1069" customFormat="1" ht="15.65" hidden="1" customHeight="1" x14ac:dyDescent="0.25">
      <c r="B207"/>
      <c r="C207"/>
      <c r="D207"/>
      <c r="E207" t="s">
        <v>568</v>
      </c>
      <c r="F207" t="s">
        <v>377</v>
      </c>
      <c r="G207"/>
      <c r="H207" t="s">
        <v>369</v>
      </c>
      <c r="I207"/>
      <c r="N207"/>
      <c r="O207"/>
      <c r="P207"/>
      <c r="Y207" s="1623"/>
      <c r="Z207" s="1584"/>
      <c r="AA207" s="1584"/>
      <c r="AB207" s="1584"/>
      <c r="AC207" s="1584"/>
      <c r="AD207" s="1584"/>
      <c r="AE207" s="1584"/>
      <c r="AF207" s="1585"/>
      <c r="AG207" s="1579"/>
      <c r="AH207" s="1579"/>
      <c r="AI207" s="1579"/>
      <c r="AJ207" s="1579"/>
      <c r="AK207" s="1579"/>
      <c r="AL207" s="1579"/>
      <c r="AM207" s="1579"/>
    </row>
    <row r="208" spans="2:39" s="1069" customFormat="1" ht="15.65" hidden="1" customHeight="1" x14ac:dyDescent="0.25">
      <c r="B208"/>
      <c r="C208"/>
      <c r="D208"/>
      <c r="E208" t="s">
        <v>568</v>
      </c>
      <c r="F208" t="s">
        <v>378</v>
      </c>
      <c r="G208"/>
      <c r="H208" t="s">
        <v>369</v>
      </c>
      <c r="I208"/>
      <c r="N208"/>
      <c r="O208"/>
      <c r="P208"/>
      <c r="Y208" s="1623"/>
      <c r="Z208" s="1584"/>
      <c r="AA208" s="1584"/>
      <c r="AB208" s="1584"/>
      <c r="AC208" s="1584"/>
      <c r="AD208" s="1584"/>
      <c r="AE208" s="1584"/>
      <c r="AF208" s="1585"/>
      <c r="AG208" s="1579"/>
      <c r="AH208" s="1579"/>
      <c r="AI208" s="1579"/>
      <c r="AJ208" s="1579"/>
      <c r="AK208" s="1579"/>
      <c r="AL208" s="1579"/>
      <c r="AM208" s="1579"/>
    </row>
    <row r="209" spans="2:43" s="1069" customFormat="1" ht="15.65" hidden="1" customHeight="1" x14ac:dyDescent="0.25">
      <c r="B209"/>
      <c r="C209"/>
      <c r="D209"/>
      <c r="E209" t="s">
        <v>568</v>
      </c>
      <c r="F209" t="s">
        <v>379</v>
      </c>
      <c r="G209"/>
      <c r="H209" t="s">
        <v>369</v>
      </c>
      <c r="I209"/>
      <c r="N209"/>
      <c r="O209"/>
      <c r="P209"/>
      <c r="Y209" s="1795"/>
      <c r="Z209" s="1584"/>
      <c r="AA209" s="1584"/>
      <c r="AB209" s="1584"/>
      <c r="AC209" s="1584"/>
      <c r="AD209" s="1584"/>
      <c r="AE209" s="1584"/>
      <c r="AF209" s="1585"/>
      <c r="AG209" s="1579"/>
      <c r="AH209" s="1579"/>
      <c r="AI209" s="1579"/>
      <c r="AJ209" s="1579"/>
      <c r="AK209" s="1579"/>
      <c r="AL209" s="1579"/>
      <c r="AM209" s="1579"/>
    </row>
    <row r="210" spans="2:43" s="1069" customFormat="1" ht="15.65" hidden="1" customHeight="1" x14ac:dyDescent="0.25">
      <c r="B210"/>
      <c r="C210"/>
      <c r="D210"/>
      <c r="E210" t="s">
        <v>568</v>
      </c>
      <c r="F210" t="s">
        <v>380</v>
      </c>
      <c r="G210"/>
      <c r="H210" t="s">
        <v>369</v>
      </c>
      <c r="I210"/>
      <c r="N210"/>
      <c r="O210"/>
      <c r="P210"/>
      <c r="Y210" s="1795"/>
      <c r="Z210" s="1584"/>
      <c r="AA210" s="1584"/>
      <c r="AB210" s="1584"/>
      <c r="AC210" s="1584"/>
      <c r="AD210" s="1584"/>
      <c r="AE210" s="1584"/>
      <c r="AF210" s="1585"/>
      <c r="AG210" s="1579"/>
      <c r="AH210" s="1579"/>
      <c r="AI210" s="1579"/>
      <c r="AJ210" s="1579"/>
      <c r="AK210" s="1579"/>
      <c r="AL210" s="1579"/>
      <c r="AM210" s="1579"/>
    </row>
    <row r="211" spans="2:43" s="1069" customFormat="1" ht="15.65" hidden="1" customHeight="1" x14ac:dyDescent="0.25">
      <c r="B211"/>
      <c r="C211"/>
      <c r="D211"/>
      <c r="E211" t="s">
        <v>568</v>
      </c>
      <c r="F211" t="s">
        <v>381</v>
      </c>
      <c r="G211"/>
      <c r="H211" t="s">
        <v>369</v>
      </c>
      <c r="I211"/>
      <c r="N211"/>
      <c r="O211"/>
      <c r="P211"/>
      <c r="Y211" s="1743"/>
      <c r="Z211" s="1584"/>
      <c r="AA211" s="1584"/>
      <c r="AB211" s="1584"/>
      <c r="AC211" s="1584"/>
      <c r="AD211" s="1584"/>
      <c r="AE211" s="1584"/>
      <c r="AF211" s="1585"/>
      <c r="AG211" s="1579"/>
      <c r="AH211" s="1579"/>
      <c r="AI211" s="1579"/>
      <c r="AJ211" s="1579"/>
      <c r="AK211" s="1579"/>
      <c r="AL211" s="1579"/>
      <c r="AM211" s="1579"/>
    </row>
    <row r="212" spans="2:43" s="1069" customFormat="1" hidden="1" x14ac:dyDescent="0.25">
      <c r="B212"/>
      <c r="C212"/>
      <c r="D212"/>
      <c r="E212" t="s">
        <v>568</v>
      </c>
      <c r="F212" t="s">
        <v>382</v>
      </c>
      <c r="G212"/>
      <c r="H212">
        <f>IFERROR(H340,'Hidden Lists and Summaries'!$C$158)</f>
        <v>0</v>
      </c>
      <c r="I212" t="s">
        <v>90</v>
      </c>
      <c r="N212"/>
      <c r="O212"/>
      <c r="P212"/>
      <c r="Y212" s="1623"/>
      <c r="Z212" s="1584"/>
      <c r="AA212" s="1584"/>
      <c r="AB212" s="1584"/>
      <c r="AC212" s="1584"/>
      <c r="AD212" s="1584"/>
      <c r="AE212" s="1584"/>
      <c r="AF212" s="1585"/>
      <c r="AG212" s="1579"/>
      <c r="AH212" s="1579"/>
      <c r="AI212" s="1579"/>
      <c r="AJ212" s="1579"/>
      <c r="AK212" s="1579"/>
      <c r="AL212" s="1579"/>
      <c r="AM212" s="1579"/>
    </row>
    <row r="213" spans="2:43" s="1069" customFormat="1" ht="15.65" hidden="1" customHeight="1" x14ac:dyDescent="0.25">
      <c r="B213"/>
      <c r="C213"/>
      <c r="D213"/>
      <c r="E213" t="s">
        <v>568</v>
      </c>
      <c r="F213" t="s">
        <v>383</v>
      </c>
      <c r="G213"/>
      <c r="H213" s="227">
        <f>H340</f>
        <v>0</v>
      </c>
      <c r="I213" t="s">
        <v>90</v>
      </c>
      <c r="N213"/>
      <c r="O213"/>
      <c r="P213"/>
      <c r="Y213" s="1623"/>
      <c r="Z213" s="1584"/>
      <c r="AA213" s="1584"/>
      <c r="AB213" s="1584"/>
      <c r="AC213" s="1584"/>
      <c r="AD213" s="1584"/>
      <c r="AE213" s="1584"/>
      <c r="AF213" s="1585"/>
      <c r="AG213" s="1579"/>
      <c r="AH213" s="1579"/>
      <c r="AI213" s="1579"/>
      <c r="AJ213" s="1579"/>
      <c r="AK213" s="1579"/>
      <c r="AL213" s="1579"/>
      <c r="AM213" s="1579"/>
    </row>
    <row r="214" spans="2:43" s="1069" customFormat="1" ht="15.65" hidden="1" customHeight="1" x14ac:dyDescent="0.25">
      <c r="B214"/>
      <c r="C214"/>
      <c r="D214"/>
      <c r="E214" t="s">
        <v>568</v>
      </c>
      <c r="F214" t="s">
        <v>384</v>
      </c>
      <c r="G214"/>
      <c r="H214">
        <f>IFERROR(H342,'Hidden Lists and Summaries'!$C$158)</f>
        <v>0</v>
      </c>
      <c r="I214" t="s">
        <v>90</v>
      </c>
      <c r="N214"/>
      <c r="O214"/>
      <c r="P214"/>
      <c r="Y214" s="1623"/>
      <c r="Z214" s="1584"/>
      <c r="AA214" s="1584"/>
      <c r="AB214" s="1584"/>
      <c r="AC214" s="1586"/>
      <c r="AD214" s="1586"/>
      <c r="AE214" s="1586"/>
      <c r="AF214" s="1626"/>
      <c r="AG214" s="1586"/>
      <c r="AH214" s="1586"/>
      <c r="AI214" s="1586"/>
      <c r="AJ214" s="1586"/>
      <c r="AK214" s="1586"/>
      <c r="AL214" s="1586"/>
      <c r="AM214" s="1586"/>
      <c r="AN214"/>
      <c r="AO214"/>
      <c r="AP214"/>
      <c r="AQ214"/>
    </row>
    <row r="215" spans="2:43" s="1069" customFormat="1" ht="15.65" hidden="1" customHeight="1" x14ac:dyDescent="0.25">
      <c r="B215"/>
      <c r="C215"/>
      <c r="D215"/>
      <c r="E215" t="s">
        <v>568</v>
      </c>
      <c r="F215" t="s">
        <v>385</v>
      </c>
      <c r="G215"/>
      <c r="H215">
        <f>IFERROR(MAX(H201+H203-SUM(H204:H213)+H214,0),'Hidden Lists and Summaries'!$C$158)</f>
        <v>0</v>
      </c>
      <c r="I215" t="s">
        <v>90</v>
      </c>
      <c r="N215"/>
      <c r="O215"/>
      <c r="P215"/>
      <c r="Y215" s="1623"/>
      <c r="Z215" s="1584"/>
      <c r="AA215" s="1584"/>
      <c r="AB215" s="1584"/>
      <c r="AC215" s="1586"/>
      <c r="AD215" s="1586"/>
      <c r="AE215" s="1586"/>
      <c r="AF215" s="1626"/>
      <c r="AG215" s="1586"/>
      <c r="AH215" s="1586"/>
      <c r="AI215" s="1586"/>
      <c r="AJ215" s="1586"/>
      <c r="AK215" s="1586"/>
      <c r="AL215" s="1586"/>
      <c r="AM215" s="1586"/>
      <c r="AN215"/>
      <c r="AO215"/>
      <c r="AP215"/>
      <c r="AQ215"/>
    </row>
    <row r="216" spans="2:43" s="1069" customFormat="1" ht="15.65" hidden="1" customHeight="1" x14ac:dyDescent="0.25">
      <c r="B216"/>
      <c r="C216"/>
      <c r="D216"/>
      <c r="E216" t="s">
        <v>568</v>
      </c>
      <c r="F216" t="s">
        <v>386</v>
      </c>
      <c r="G216"/>
      <c r="H216">
        <f>IFERROR(H201+H203-SUM(H204:H213)+H214,'Hidden Lists and Summaries'!$C$158)</f>
        <v>0</v>
      </c>
      <c r="I216" t="s">
        <v>90</v>
      </c>
      <c r="N216"/>
      <c r="O216"/>
      <c r="P216"/>
      <c r="Y216" s="1623"/>
      <c r="Z216" s="1584"/>
      <c r="AA216" s="1584"/>
      <c r="AB216" s="1584"/>
      <c r="AC216" s="1586"/>
      <c r="AD216" s="1586"/>
      <c r="AE216" s="1586"/>
      <c r="AF216" s="1626"/>
      <c r="AG216" s="1586"/>
      <c r="AH216" s="1586"/>
      <c r="AI216" s="1586"/>
      <c r="AJ216" s="1586"/>
      <c r="AK216" s="1586"/>
      <c r="AL216" s="1586"/>
      <c r="AM216" s="1586"/>
      <c r="AN216"/>
      <c r="AO216"/>
      <c r="AP216"/>
      <c r="AQ216"/>
    </row>
    <row r="217" spans="2:43" s="1069" customFormat="1" ht="15.65" hidden="1" customHeight="1" x14ac:dyDescent="0.25">
      <c r="B217"/>
      <c r="C217"/>
      <c r="D217"/>
      <c r="E217" t="s">
        <v>568</v>
      </c>
      <c r="F217" t="s">
        <v>388</v>
      </c>
      <c r="G217"/>
      <c r="H217" t="str">
        <f>IFERROR(H216/(reforming_hydrogenProductionQuantity*1000),'Hidden Lists and Summaries'!$C$158)</f>
        <v>Error -  Review inputs</v>
      </c>
      <c r="I217" t="s">
        <v>396</v>
      </c>
      <c r="N217"/>
      <c r="O217"/>
      <c r="P217"/>
      <c r="Y217" s="1623"/>
      <c r="Z217" s="1584"/>
      <c r="AA217" s="1584"/>
      <c r="AB217" s="1584"/>
      <c r="AC217" s="1586"/>
      <c r="AD217" s="1586"/>
      <c r="AE217" s="1586"/>
      <c r="AF217" s="1626"/>
      <c r="AG217" s="1586"/>
      <c r="AH217" s="1586"/>
      <c r="AI217" s="1586"/>
      <c r="AJ217" s="1586"/>
      <c r="AK217" s="1586"/>
      <c r="AL217" s="1586"/>
      <c r="AM217" s="1586"/>
      <c r="AN217"/>
      <c r="AO217"/>
      <c r="AP217"/>
      <c r="AQ217"/>
    </row>
    <row r="218" spans="2:43" s="1069" customFormat="1" ht="15.65" hidden="1" customHeight="1" x14ac:dyDescent="0.25">
      <c r="B218"/>
      <c r="C218"/>
      <c r="D218"/>
      <c r="E218" t="s">
        <v>568</v>
      </c>
      <c r="F218" t="s">
        <v>387</v>
      </c>
      <c r="G218"/>
      <c r="H218">
        <f>H216-H215</f>
        <v>0</v>
      </c>
      <c r="I218" t="s">
        <v>90</v>
      </c>
      <c r="N218"/>
      <c r="O218"/>
      <c r="P218"/>
      <c r="Y218" s="1623"/>
      <c r="Z218" s="1584"/>
      <c r="AA218" s="1584"/>
      <c r="AB218" s="1584"/>
      <c r="AC218" s="1586"/>
      <c r="AD218" s="1586"/>
      <c r="AE218" s="1586"/>
      <c r="AF218" s="1626"/>
      <c r="AG218" s="1586"/>
      <c r="AH218" s="1586"/>
      <c r="AI218" s="1586"/>
      <c r="AJ218" s="1586"/>
      <c r="AK218" s="1586"/>
      <c r="AL218" s="1586"/>
      <c r="AM218" s="1586"/>
      <c r="AN218"/>
      <c r="AO218"/>
      <c r="AP218"/>
      <c r="AQ218"/>
    </row>
    <row r="219" spans="2:43" s="1069" customFormat="1" ht="15.65" hidden="1" customHeight="1" x14ac:dyDescent="0.25">
      <c r="B219"/>
      <c r="C219"/>
      <c r="D219"/>
      <c r="E219" t="s">
        <v>568</v>
      </c>
      <c r="F219" t="s">
        <v>389</v>
      </c>
      <c r="G219"/>
      <c r="H219">
        <f>H348</f>
        <v>0</v>
      </c>
      <c r="I219" t="s">
        <v>90</v>
      </c>
      <c r="N219"/>
      <c r="O219"/>
      <c r="P219"/>
      <c r="Y219" s="1623"/>
      <c r="Z219" s="1584"/>
      <c r="AA219" s="1584"/>
      <c r="AB219" s="1584"/>
      <c r="AC219" s="1586"/>
      <c r="AD219" s="1586"/>
      <c r="AE219" s="1586"/>
      <c r="AF219" s="1626"/>
      <c r="AG219" s="1586"/>
      <c r="AH219" s="1586"/>
      <c r="AI219" s="1586"/>
      <c r="AJ219" s="1586"/>
      <c r="AK219" s="1586"/>
      <c r="AL219" s="1586"/>
      <c r="AM219" s="1586"/>
      <c r="AN219"/>
      <c r="AO219"/>
      <c r="AP219"/>
      <c r="AQ219"/>
    </row>
    <row r="220" spans="2:43" s="1069" customFormat="1" ht="15.65" hidden="1" customHeight="1" x14ac:dyDescent="0.25">
      <c r="B220"/>
      <c r="C220"/>
      <c r="D220"/>
      <c r="E220" t="s">
        <v>568</v>
      </c>
      <c r="F220" t="s">
        <v>390</v>
      </c>
      <c r="G220"/>
      <c r="H220">
        <f>H349</f>
        <v>0</v>
      </c>
      <c r="I220" t="s">
        <v>90</v>
      </c>
      <c r="N220"/>
      <c r="O220"/>
      <c r="P220"/>
      <c r="Y220" s="1623"/>
      <c r="Z220" s="1584"/>
      <c r="AA220" s="1584"/>
      <c r="AB220" s="1584"/>
      <c r="AC220" s="1586"/>
      <c r="AD220" s="1586"/>
      <c r="AE220" s="1586"/>
      <c r="AF220" s="1626"/>
      <c r="AG220" s="1586"/>
      <c r="AH220" s="1586"/>
      <c r="AI220" s="1586"/>
      <c r="AJ220" s="1586"/>
      <c r="AK220" s="1586"/>
      <c r="AL220" s="1586"/>
      <c r="AM220" s="1586"/>
      <c r="AN220"/>
      <c r="AO220"/>
      <c r="AP220"/>
      <c r="AQ220"/>
    </row>
    <row r="221" spans="2:43" ht="15.65" hidden="1" customHeight="1" x14ac:dyDescent="0.25">
      <c r="B221"/>
      <c r="C221"/>
      <c r="D221"/>
      <c r="E221" t="s">
        <v>568</v>
      </c>
      <c r="F221" t="s">
        <v>391</v>
      </c>
      <c r="G221"/>
      <c r="H221">
        <f>SUM(H219:H220)</f>
        <v>0</v>
      </c>
      <c r="I221" t="s">
        <v>90</v>
      </c>
      <c r="N221"/>
      <c r="O221"/>
      <c r="P221"/>
      <c r="Y221" s="1623"/>
      <c r="Z221" s="1584"/>
      <c r="AA221" s="1584"/>
      <c r="AB221" s="1584"/>
      <c r="AC221" s="1586"/>
      <c r="AD221" s="1586"/>
      <c r="AE221" s="1586"/>
      <c r="AF221" s="1626"/>
      <c r="AG221" s="1586"/>
      <c r="AH221" s="1586"/>
      <c r="AI221" s="1586"/>
      <c r="AJ221" s="1586"/>
      <c r="AK221" s="1586"/>
      <c r="AL221" s="1586"/>
      <c r="AM221" s="1586"/>
      <c r="AN221"/>
      <c r="AO221"/>
      <c r="AP221"/>
      <c r="AQ221"/>
    </row>
    <row r="222" spans="2:43" ht="15.65" hidden="1" customHeight="1" x14ac:dyDescent="0.25">
      <c r="B222"/>
      <c r="C222"/>
      <c r="D222"/>
      <c r="E222" t="s">
        <v>568</v>
      </c>
      <c r="F222" t="s">
        <v>392</v>
      </c>
      <c r="G222"/>
      <c r="H222" t="e">
        <f>H221/(reforming_hydrogenProductionQuantity*1000)</f>
        <v>#N/A</v>
      </c>
      <c r="I222" t="s">
        <v>372</v>
      </c>
      <c r="N222"/>
      <c r="O222"/>
      <c r="P222"/>
      <c r="Y222" s="1623"/>
      <c r="Z222" s="1584"/>
      <c r="AA222" s="1584"/>
      <c r="AB222" s="1584"/>
      <c r="AC222" s="1586"/>
      <c r="AD222" s="1586"/>
      <c r="AE222" s="1586"/>
      <c r="AF222" s="1626"/>
      <c r="AG222" s="1586"/>
      <c r="AH222" s="1586"/>
      <c r="AI222" s="1586"/>
      <c r="AJ222" s="1586"/>
      <c r="AK222" s="1586"/>
      <c r="AL222" s="1586"/>
      <c r="AM222" s="1586"/>
      <c r="AN222"/>
      <c r="AO222"/>
      <c r="AP222"/>
      <c r="AQ222"/>
    </row>
    <row r="223" spans="2:43" ht="15.65" hidden="1" customHeight="1" x14ac:dyDescent="0.25">
      <c r="B223"/>
      <c r="C223"/>
      <c r="D223"/>
      <c r="E223" t="s">
        <v>568</v>
      </c>
      <c r="F223" t="s">
        <v>393</v>
      </c>
      <c r="G223"/>
      <c r="H223">
        <f>production_transport_and_storage_losses</f>
        <v>0</v>
      </c>
      <c r="I223" t="s">
        <v>394</v>
      </c>
      <c r="N223"/>
      <c r="O223"/>
      <c r="P223"/>
      <c r="Y223" s="1623"/>
      <c r="Z223" s="1584"/>
      <c r="AA223" s="1584"/>
      <c r="AB223" s="1584"/>
      <c r="AC223" s="1586"/>
      <c r="AD223" s="1586"/>
      <c r="AE223" s="1586"/>
      <c r="AF223" s="1626"/>
      <c r="AG223" s="1586"/>
      <c r="AH223" s="1586"/>
      <c r="AI223" s="1586"/>
      <c r="AJ223" s="1586"/>
      <c r="AK223" s="1586"/>
      <c r="AL223" s="1586"/>
      <c r="AM223" s="1586"/>
      <c r="AN223"/>
      <c r="AO223"/>
      <c r="AP223"/>
      <c r="AQ223"/>
    </row>
    <row r="224" spans="2:43" ht="15.65" hidden="1" customHeight="1" x14ac:dyDescent="0.25">
      <c r="B224"/>
      <c r="C224"/>
      <c r="D224"/>
      <c r="E224" t="s">
        <v>568</v>
      </c>
      <c r="F224" t="s">
        <v>398</v>
      </c>
      <c r="G224"/>
      <c r="H224" t="e">
        <f>reforming_hydrogenProductionQuantity*1000-H223</f>
        <v>#N/A</v>
      </c>
      <c r="I224" t="s">
        <v>394</v>
      </c>
      <c r="N224"/>
      <c r="O224"/>
      <c r="P224"/>
      <c r="W224"/>
      <c r="X224"/>
      <c r="Y224" s="1625"/>
      <c r="Z224" s="1586"/>
      <c r="AA224" s="1586"/>
      <c r="AB224" s="1586"/>
      <c r="AC224" s="1586"/>
      <c r="AD224" s="1586"/>
      <c r="AE224" s="1586"/>
      <c r="AF224" s="1626"/>
      <c r="AG224" s="1586"/>
      <c r="AH224" s="1586"/>
      <c r="AI224" s="1586"/>
      <c r="AJ224" s="1586"/>
      <c r="AK224" s="1586"/>
      <c r="AL224" s="1586"/>
      <c r="AM224" s="1586"/>
      <c r="AN224"/>
      <c r="AO224"/>
      <c r="AP224"/>
      <c r="AQ224"/>
    </row>
    <row r="225" spans="2:44" ht="15.65" hidden="1" customHeight="1" x14ac:dyDescent="0.25">
      <c r="B225"/>
      <c r="C225"/>
      <c r="D225"/>
      <c r="E225" t="s">
        <v>568</v>
      </c>
      <c r="F225" t="s">
        <v>395</v>
      </c>
      <c r="G225"/>
      <c r="H225" t="e">
        <f>H223/(reforming_hydrogenProductionQuantity*1000)*SUM(H202,H222)</f>
        <v>#N/A</v>
      </c>
      <c r="I225" t="s">
        <v>372</v>
      </c>
      <c r="N225"/>
      <c r="O225"/>
      <c r="P225"/>
      <c r="W225"/>
      <c r="X225"/>
      <c r="Y225" s="1796"/>
      <c r="Z225" s="1797"/>
      <c r="AA225" s="1797"/>
      <c r="AB225" s="1797"/>
      <c r="AC225" s="1586"/>
      <c r="AD225" s="1586"/>
      <c r="AE225" s="1586"/>
      <c r="AF225" s="1626"/>
      <c r="AG225" s="1586"/>
      <c r="AH225" s="1586"/>
      <c r="AI225" s="1586"/>
      <c r="AJ225" s="1586"/>
      <c r="AK225" s="1586"/>
      <c r="AL225" s="1586"/>
      <c r="AM225" s="1586"/>
      <c r="AN225"/>
      <c r="AO225"/>
      <c r="AP225"/>
      <c r="AQ225"/>
    </row>
    <row r="226" spans="2:44" ht="15.65" hidden="1" customHeight="1" x14ac:dyDescent="0.25">
      <c r="B226"/>
      <c r="C226"/>
      <c r="D226"/>
      <c r="E226" t="s">
        <v>568</v>
      </c>
      <c r="F226" t="s">
        <v>397</v>
      </c>
      <c r="G226"/>
      <c r="H226" t="e">
        <f>H223/(reforming_hydrogenProductionQuantity*1000)*SUM(reforming_netEmissionsIntensity,H222)</f>
        <v>#N/A</v>
      </c>
      <c r="I226" t="s">
        <v>372</v>
      </c>
      <c r="N226"/>
      <c r="O226"/>
      <c r="P226"/>
      <c r="W226"/>
      <c r="X226"/>
      <c r="Y226" s="1586"/>
      <c r="Z226" s="1586"/>
      <c r="AA226" s="1586"/>
      <c r="AB226" s="1586"/>
      <c r="AC226" s="1798"/>
      <c r="AD226" s="1798"/>
      <c r="AE226" s="1798"/>
      <c r="AF226" s="1798"/>
      <c r="AG226" s="1586"/>
      <c r="AH226" s="1586"/>
      <c r="AI226" s="1586"/>
      <c r="AJ226" s="1586"/>
      <c r="AK226" s="1586"/>
      <c r="AL226" s="1586"/>
      <c r="AM226" s="1586"/>
      <c r="AN226"/>
      <c r="AO226"/>
      <c r="AP226"/>
      <c r="AQ226"/>
    </row>
    <row r="227" spans="2:44" ht="15.65" hidden="1" customHeight="1" x14ac:dyDescent="0.25">
      <c r="B227"/>
      <c r="C227"/>
      <c r="D227"/>
      <c r="E227" t="s">
        <v>568</v>
      </c>
      <c r="F227" t="s">
        <v>399</v>
      </c>
      <c r="G227"/>
      <c r="H227" t="e">
        <f>SUM(H202,H222,H225)</f>
        <v>#N/A</v>
      </c>
      <c r="I227" t="s">
        <v>372</v>
      </c>
      <c r="N227"/>
      <c r="O227"/>
      <c r="P227"/>
      <c r="W227"/>
      <c r="X227"/>
      <c r="Y227" s="1586"/>
      <c r="Z227" s="1586"/>
      <c r="AA227" s="1586"/>
      <c r="AB227" s="1586"/>
      <c r="AC227" s="1586"/>
      <c r="AD227" s="1586"/>
      <c r="AE227" s="1586"/>
      <c r="AF227" s="1586"/>
      <c r="AG227" s="1586"/>
      <c r="AH227" s="1586"/>
      <c r="AI227" s="1586"/>
      <c r="AJ227" s="1586"/>
      <c r="AK227" s="1586"/>
      <c r="AL227" s="1586"/>
      <c r="AM227" s="1586"/>
      <c r="AN227"/>
      <c r="AO227"/>
      <c r="AP227"/>
      <c r="AQ227"/>
    </row>
    <row r="228" spans="2:44" ht="15.65" hidden="1" customHeight="1" x14ac:dyDescent="0.25">
      <c r="B228"/>
      <c r="C228"/>
      <c r="D228"/>
      <c r="E228" t="s">
        <v>568</v>
      </c>
      <c r="F228" t="s">
        <v>400</v>
      </c>
      <c r="G228"/>
      <c r="H228" t="e">
        <f>SUM(reforming_netEmissionsIntensity,H222,H226)</f>
        <v>#N/A</v>
      </c>
      <c r="I228" t="s">
        <v>396</v>
      </c>
      <c r="N228"/>
      <c r="O228"/>
      <c r="P228"/>
      <c r="W228"/>
      <c r="X228"/>
      <c r="Y228" s="1586"/>
      <c r="Z228" s="1586"/>
      <c r="AA228" s="1586"/>
      <c r="AB228" s="1586"/>
      <c r="AC228" s="1586"/>
      <c r="AD228" s="1586"/>
      <c r="AE228" s="1586"/>
      <c r="AF228" s="1586"/>
      <c r="AG228" s="1586"/>
      <c r="AH228" s="1586"/>
      <c r="AI228" s="1586"/>
      <c r="AJ228" s="1586"/>
      <c r="AK228" s="1586"/>
      <c r="AL228" s="1586"/>
      <c r="AM228" s="1586"/>
      <c r="AN228"/>
      <c r="AO228"/>
      <c r="AP228"/>
      <c r="AQ228"/>
    </row>
    <row r="229" spans="2:44" ht="15.65" hidden="1" customHeight="1" x14ac:dyDescent="0.25">
      <c r="B229"/>
      <c r="C229"/>
      <c r="D229"/>
      <c r="E229" t="s">
        <v>568</v>
      </c>
      <c r="F229" t="s">
        <v>401</v>
      </c>
      <c r="G229"/>
      <c r="H229">
        <f>iq_name</f>
        <v>0</v>
      </c>
      <c r="I229"/>
      <c r="N229"/>
      <c r="O229"/>
      <c r="P229"/>
      <c r="W229"/>
      <c r="X229"/>
      <c r="Y229" s="1586"/>
      <c r="Z229" s="1586"/>
      <c r="AA229" s="1586"/>
      <c r="AB229" s="1586"/>
      <c r="AC229" s="1586"/>
      <c r="AD229" s="1586"/>
      <c r="AE229" s="1586"/>
      <c r="AF229" s="1586"/>
      <c r="AG229" s="1586"/>
      <c r="AH229" s="1586"/>
      <c r="AI229" s="1586"/>
      <c r="AJ229" s="1586"/>
      <c r="AK229" s="1586"/>
      <c r="AL229" s="1586"/>
      <c r="AM229" s="1586"/>
      <c r="AN229"/>
      <c r="AO229"/>
      <c r="AP229"/>
      <c r="AQ229"/>
    </row>
    <row r="230" spans="2:44" ht="15.65" hidden="1" customHeight="1" x14ac:dyDescent="0.25">
      <c r="B230"/>
      <c r="C230"/>
      <c r="D230"/>
      <c r="E230" t="s">
        <v>568</v>
      </c>
      <c r="F230" t="s">
        <v>402</v>
      </c>
      <c r="G230"/>
      <c r="H230" t="str">
        <f>_xlfn.CONCAT(iq_location,", ",IF(iq_metro="Yes","Metro", "Non-Metro"))</f>
        <v>, Non-Metro</v>
      </c>
      <c r="I230"/>
      <c r="N230"/>
      <c r="O230"/>
      <c r="P230"/>
      <c r="W230"/>
      <c r="X230"/>
      <c r="Y230" s="1586"/>
      <c r="Z230" s="1586"/>
      <c r="AA230" s="1586"/>
      <c r="AB230" s="1586"/>
      <c r="AC230" s="1586"/>
      <c r="AD230" s="1586"/>
      <c r="AE230" s="1586"/>
      <c r="AF230" s="1586"/>
      <c r="AG230" s="1586"/>
      <c r="AH230" s="1586"/>
      <c r="AI230" s="1586"/>
      <c r="AJ230" s="1586"/>
      <c r="AK230" s="1586"/>
      <c r="AL230" s="1586"/>
      <c r="AM230" s="1586"/>
      <c r="AN230"/>
      <c r="AO230"/>
      <c r="AP230"/>
      <c r="AQ230"/>
    </row>
    <row r="231" spans="2:44" ht="15.65" hidden="1" customHeight="1" x14ac:dyDescent="0.25">
      <c r="B231"/>
      <c r="C231"/>
      <c r="D231"/>
      <c r="E231" t="s">
        <v>568</v>
      </c>
      <c r="F231" t="s">
        <v>403</v>
      </c>
      <c r="G231"/>
      <c r="H231" t="e">
        <f>reforming_annual_capacity_tonnes</f>
        <v>#N/A</v>
      </c>
      <c r="I231" t="s">
        <v>404</v>
      </c>
      <c r="N231"/>
      <c r="O231"/>
      <c r="P231"/>
      <c r="W231"/>
      <c r="X231"/>
      <c r="Y231" s="1586"/>
      <c r="Z231" s="1586"/>
      <c r="AA231" s="1586"/>
      <c r="AB231" s="1586"/>
      <c r="AC231" s="1586"/>
      <c r="AD231" s="1586"/>
      <c r="AE231" s="1586"/>
      <c r="AF231" s="1586"/>
      <c r="AG231" s="1586"/>
      <c r="AH231" s="1586"/>
      <c r="AI231" s="1586"/>
      <c r="AJ231" s="1586"/>
      <c r="AK231" s="1586"/>
      <c r="AL231" s="1586"/>
      <c r="AM231" s="1586"/>
      <c r="AN231"/>
      <c r="AO231"/>
      <c r="AP231"/>
      <c r="AQ231"/>
    </row>
    <row r="232" spans="2:44" ht="15.65" hidden="1" customHeight="1" x14ac:dyDescent="0.25">
      <c r="B232"/>
      <c r="C232"/>
      <c r="D232"/>
      <c r="E232" t="s">
        <v>568</v>
      </c>
      <c r="F232" t="s">
        <v>405</v>
      </c>
      <c r="G232"/>
      <c r="H232">
        <f>iq_commencement</f>
        <v>0</v>
      </c>
      <c r="I232"/>
      <c r="N232"/>
      <c r="O232"/>
      <c r="P232"/>
      <c r="W232"/>
      <c r="X232"/>
      <c r="Y232" s="1586"/>
      <c r="Z232" s="1586"/>
      <c r="AA232" s="1586"/>
      <c r="AB232" s="1586"/>
      <c r="AC232" s="1586"/>
      <c r="AD232" s="1586"/>
      <c r="AE232" s="1586"/>
      <c r="AF232" s="1586"/>
      <c r="AG232" s="1586"/>
      <c r="AH232" s="1586"/>
      <c r="AI232" s="1586"/>
      <c r="AJ232" s="1586"/>
      <c r="AK232" s="1586"/>
      <c r="AL232" s="1586"/>
      <c r="AM232" s="1586"/>
      <c r="AN232"/>
      <c r="AO232"/>
      <c r="AP232"/>
      <c r="AQ232"/>
    </row>
    <row r="233" spans="2:44" ht="15.65" hidden="1" customHeight="1" x14ac:dyDescent="0.25">
      <c r="B233"/>
      <c r="C233"/>
      <c r="D233"/>
      <c r="E233" t="s">
        <v>568</v>
      </c>
      <c r="F233" t="s">
        <v>406</v>
      </c>
      <c r="G233"/>
      <c r="H233" t="str" cm="1">
        <f t="array" aca="1" ref="H233" ca="1">_xlfn.TEXTAFTER(CELL("filename",A33),"]")</f>
        <v>Natural Gas Reforming</v>
      </c>
      <c r="I233"/>
      <c r="N233"/>
      <c r="O233"/>
      <c r="P233"/>
      <c r="W233"/>
      <c r="X233"/>
      <c r="Y233" s="1586"/>
      <c r="Z233" s="1586"/>
      <c r="AA233" s="1586"/>
      <c r="AB233" s="1586"/>
      <c r="AC233" s="1586"/>
      <c r="AD233" s="1586"/>
      <c r="AE233" s="1586"/>
      <c r="AF233" s="1586"/>
      <c r="AG233" s="1586"/>
      <c r="AH233" s="1586"/>
      <c r="AI233" s="1586"/>
      <c r="AJ233" s="1586"/>
      <c r="AK233" s="1586"/>
      <c r="AL233" s="1586"/>
      <c r="AM233" s="1586"/>
      <c r="AN233"/>
      <c r="AO233"/>
      <c r="AP233"/>
      <c r="AQ233"/>
    </row>
    <row r="234" spans="2:44" ht="15.65" hidden="1" customHeight="1" x14ac:dyDescent="0.25">
      <c r="B234"/>
      <c r="C234"/>
      <c r="D234"/>
      <c r="E234" t="s">
        <v>568</v>
      </c>
      <c r="F234" t="s">
        <v>407</v>
      </c>
      <c r="G234"/>
      <c r="H234" t="e">
        <f>reforming_hydrogenProductionQuantity*1000</f>
        <v>#N/A</v>
      </c>
      <c r="I234" t="s">
        <v>394</v>
      </c>
      <c r="N234"/>
      <c r="O234"/>
      <c r="P234"/>
      <c r="V234"/>
      <c r="W234"/>
      <c r="X234"/>
      <c r="Y234" s="1586"/>
      <c r="Z234" s="1586"/>
      <c r="AA234" s="1586"/>
      <c r="AB234" s="1586"/>
      <c r="AC234" s="1586"/>
      <c r="AD234" s="1586"/>
      <c r="AE234" s="1586"/>
      <c r="AF234" s="1586"/>
      <c r="AG234" s="1586"/>
      <c r="AH234" s="1586"/>
      <c r="AI234" s="1586"/>
      <c r="AJ234" s="1586"/>
      <c r="AK234" s="1586"/>
      <c r="AL234" s="1586"/>
      <c r="AM234" s="1586"/>
      <c r="AN234"/>
      <c r="AO234"/>
      <c r="AP234"/>
      <c r="AQ234"/>
      <c r="AR234"/>
    </row>
    <row r="235" spans="2:44" ht="15.65" hidden="1" customHeight="1" x14ac:dyDescent="0.25">
      <c r="B235"/>
      <c r="C235"/>
      <c r="D235"/>
      <c r="E235" t="s">
        <v>568</v>
      </c>
      <c r="F235" t="s">
        <v>408</v>
      </c>
      <c r="G235"/>
      <c r="H235">
        <f>E25</f>
        <v>0</v>
      </c>
      <c r="I235"/>
      <c r="N235"/>
      <c r="O235"/>
      <c r="P235"/>
      <c r="V235"/>
      <c r="W235"/>
      <c r="X235"/>
      <c r="Y235" s="1586"/>
      <c r="Z235" s="1586"/>
      <c r="AA235" s="1586"/>
      <c r="AB235" s="1586"/>
      <c r="AC235" s="1586"/>
      <c r="AD235" s="1586"/>
      <c r="AE235" s="1586"/>
      <c r="AF235" s="1586"/>
      <c r="AG235" s="1586"/>
      <c r="AH235" s="1586"/>
      <c r="AI235" s="1586"/>
      <c r="AJ235" s="1586"/>
      <c r="AK235" s="1586"/>
      <c r="AL235" s="1586"/>
      <c r="AM235" s="1586"/>
      <c r="AN235"/>
      <c r="AO235"/>
      <c r="AP235"/>
      <c r="AQ235"/>
      <c r="AR235"/>
    </row>
    <row r="236" spans="2:44" ht="15.65" hidden="1" customHeight="1" x14ac:dyDescent="0.25">
      <c r="B236"/>
      <c r="C236"/>
      <c r="D236"/>
      <c r="E236" t="s">
        <v>568</v>
      </c>
      <c r="F236" t="s">
        <v>188</v>
      </c>
      <c r="G236"/>
      <c r="H236">
        <f>E26</f>
        <v>0</v>
      </c>
      <c r="I236" t="s">
        <v>409</v>
      </c>
      <c r="N236"/>
      <c r="O236"/>
      <c r="P236"/>
      <c r="V236"/>
      <c r="W236"/>
      <c r="X236"/>
      <c r="Y236" s="1586"/>
      <c r="Z236" s="1586"/>
      <c r="AA236" s="1586"/>
      <c r="AB236" s="1586"/>
      <c r="AC236" s="1586"/>
      <c r="AD236" s="1586"/>
      <c r="AE236" s="1586"/>
      <c r="AF236" s="1586"/>
      <c r="AG236" s="1586"/>
      <c r="AH236" s="1586"/>
      <c r="AI236" s="1586"/>
      <c r="AJ236" s="1586"/>
      <c r="AK236" s="1586"/>
      <c r="AL236" s="1586"/>
      <c r="AM236" s="1586"/>
      <c r="AN236"/>
      <c r="AO236"/>
      <c r="AP236"/>
      <c r="AQ236"/>
      <c r="AR236"/>
    </row>
    <row r="237" spans="2:44" ht="15.65" hidden="1" customHeight="1" x14ac:dyDescent="0.25">
      <c r="B237"/>
      <c r="C237"/>
      <c r="D237"/>
      <c r="E237" t="s">
        <v>568</v>
      </c>
      <c r="F237" t="s">
        <v>410</v>
      </c>
      <c r="G237"/>
      <c r="H237">
        <f>E27</f>
        <v>0</v>
      </c>
      <c r="I237"/>
      <c r="N237"/>
      <c r="O237"/>
      <c r="P237"/>
      <c r="V237"/>
      <c r="W237"/>
      <c r="X237"/>
      <c r="Y237" s="1586"/>
      <c r="Z237" s="1586"/>
      <c r="AA237" s="1586"/>
      <c r="AB237" s="1586"/>
      <c r="AC237" s="1586"/>
      <c r="AD237" s="1586"/>
      <c r="AE237" s="1586"/>
      <c r="AF237" s="1586"/>
      <c r="AG237" s="1586"/>
      <c r="AH237" s="1586"/>
      <c r="AI237" s="1586"/>
      <c r="AJ237" s="1586"/>
      <c r="AK237" s="1586"/>
      <c r="AL237" s="1586"/>
      <c r="AM237" s="1586"/>
      <c r="AN237"/>
      <c r="AO237"/>
      <c r="AP237"/>
      <c r="AQ237"/>
      <c r="AR237"/>
    </row>
    <row r="238" spans="2:44" ht="15.65" hidden="1" customHeight="1" x14ac:dyDescent="0.25">
      <c r="B238"/>
      <c r="C238"/>
      <c r="D238"/>
      <c r="E238" t="s">
        <v>568</v>
      </c>
      <c r="F238" t="s">
        <v>411</v>
      </c>
      <c r="G238"/>
      <c r="H238" t="str">
        <f>TEXT(iq_batchBegins,"dd/mm/yyy")</f>
        <v>00/01/1900</v>
      </c>
      <c r="I238"/>
      <c r="N238"/>
      <c r="O238"/>
      <c r="P238"/>
      <c r="V238"/>
      <c r="W238"/>
      <c r="X238"/>
      <c r="Y238" s="1586"/>
      <c r="Z238" s="1586"/>
      <c r="AA238" s="1586"/>
      <c r="AB238" s="1586"/>
      <c r="AC238" s="1586"/>
      <c r="AD238" s="1586"/>
      <c r="AE238" s="1586"/>
      <c r="AF238" s="1586"/>
      <c r="AG238" s="1586"/>
      <c r="AH238" s="1586"/>
      <c r="AI238" s="1586"/>
      <c r="AJ238" s="1586"/>
      <c r="AK238" s="1586"/>
      <c r="AL238" s="1586"/>
      <c r="AM238" s="1586"/>
      <c r="AN238"/>
      <c r="AO238"/>
      <c r="AP238"/>
      <c r="AQ238"/>
      <c r="AR238"/>
    </row>
    <row r="239" spans="2:44" hidden="1" x14ac:dyDescent="0.25">
      <c r="B239"/>
      <c r="C239"/>
      <c r="D239"/>
      <c r="E239" t="s">
        <v>568</v>
      </c>
      <c r="F239" t="s">
        <v>412</v>
      </c>
      <c r="G239"/>
      <c r="H239" t="str">
        <f>TEXT(iq_batchEnd,"dd/mm/yyyy")</f>
        <v>00/01/1900</v>
      </c>
      <c r="I239"/>
      <c r="N239"/>
      <c r="O239"/>
      <c r="P239"/>
      <c r="V239"/>
      <c r="W239"/>
      <c r="X239"/>
      <c r="Y239" s="1586"/>
      <c r="Z239" s="1586"/>
      <c r="AA239" s="1586"/>
      <c r="AB239" s="1586"/>
      <c r="AC239" s="1586"/>
      <c r="AD239" s="1586"/>
      <c r="AE239" s="1586"/>
      <c r="AF239" s="1586"/>
      <c r="AG239" s="1586"/>
      <c r="AH239" s="1586"/>
      <c r="AI239" s="1586"/>
      <c r="AJ239" s="1586"/>
      <c r="AK239" s="1586"/>
      <c r="AL239" s="1586"/>
      <c r="AM239" s="1586"/>
      <c r="AN239"/>
      <c r="AO239"/>
      <c r="AP239"/>
      <c r="AQ239"/>
      <c r="AR239"/>
    </row>
    <row r="240" spans="2:44" hidden="1" x14ac:dyDescent="0.25">
      <c r="B240"/>
      <c r="C240"/>
      <c r="D240"/>
      <c r="E240" t="s">
        <v>568</v>
      </c>
      <c r="F240" t="s">
        <v>413</v>
      </c>
      <c r="G240"/>
      <c r="H240" t="e">
        <f>reforming_hydrogenProductionQuantity*1000</f>
        <v>#N/A</v>
      </c>
      <c r="I240" t="s">
        <v>394</v>
      </c>
      <c r="N240"/>
      <c r="O240"/>
      <c r="P240"/>
      <c r="V240"/>
      <c r="W240"/>
      <c r="X240"/>
      <c r="Y240" s="1586"/>
      <c r="Z240" s="1586"/>
      <c r="AA240" s="1586"/>
      <c r="AB240" s="1586"/>
      <c r="AC240" s="1586"/>
      <c r="AD240" s="1586"/>
      <c r="AE240" s="1586"/>
      <c r="AF240" s="1586"/>
      <c r="AG240" s="1586"/>
      <c r="AH240" s="1586"/>
      <c r="AI240" s="1586"/>
      <c r="AJ240" s="1586"/>
      <c r="AK240" s="1586"/>
      <c r="AL240" s="1586"/>
      <c r="AM240" s="1586"/>
      <c r="AN240"/>
      <c r="AO240"/>
      <c r="AP240"/>
      <c r="AQ240"/>
      <c r="AR240"/>
    </row>
    <row r="241" spans="2:44" hidden="1" x14ac:dyDescent="0.25">
      <c r="B241"/>
      <c r="C241"/>
      <c r="D241"/>
      <c r="E241" t="s">
        <v>568</v>
      </c>
      <c r="F241" t="s">
        <v>414</v>
      </c>
      <c r="G241"/>
      <c r="H241" cm="1">
        <f t="array" aca="1" ref="H241" ca="1">overall_totalImportedElectricity*VLOOKUP(_xlfn.TEXTAFTER(CELL("filename",$A$1),"]"),ElectricityPortionsByPathwayTable[],2,FALSE)</f>
        <v>0</v>
      </c>
      <c r="I241" t="s">
        <v>415</v>
      </c>
      <c r="N241"/>
      <c r="O241"/>
      <c r="P241"/>
      <c r="V241"/>
      <c r="W241"/>
      <c r="X241"/>
      <c r="Y241" s="1586"/>
      <c r="Z241" s="1586"/>
      <c r="AA241" s="1586"/>
      <c r="AB241" s="1586"/>
      <c r="AC241" s="1586"/>
      <c r="AD241" s="1586"/>
      <c r="AE241" s="1586"/>
      <c r="AF241" s="1586"/>
      <c r="AG241" s="1586"/>
      <c r="AH241" s="1586"/>
      <c r="AI241" s="1586"/>
      <c r="AJ241" s="1586"/>
      <c r="AK241" s="1586"/>
      <c r="AL241" s="1586"/>
      <c r="AM241" s="1586"/>
      <c r="AN241"/>
      <c r="AO241"/>
      <c r="AP241"/>
      <c r="AQ241"/>
      <c r="AR241"/>
    </row>
    <row r="242" spans="2:44" hidden="1" x14ac:dyDescent="0.25">
      <c r="B242"/>
      <c r="C242"/>
      <c r="D242"/>
      <c r="E242" t="s">
        <v>568</v>
      </c>
      <c r="F242" t="s">
        <v>416</v>
      </c>
      <c r="G242"/>
      <c r="H242" t="e">
        <f>overall_LocationEF</f>
        <v>#N/A</v>
      </c>
      <c r="I242" t="s">
        <v>569</v>
      </c>
      <c r="N242"/>
      <c r="O242"/>
      <c r="P242"/>
      <c r="V242"/>
      <c r="W242"/>
      <c r="X242"/>
      <c r="Y242" s="1586"/>
      <c r="Z242" s="1586"/>
      <c r="AA242" s="1586"/>
      <c r="AB242" s="1586"/>
      <c r="AC242" s="1586"/>
      <c r="AD242" s="1586"/>
      <c r="AE242" s="1586"/>
      <c r="AF242" s="1586"/>
      <c r="AG242" s="1586"/>
      <c r="AH242" s="1586"/>
      <c r="AI242" s="1586"/>
      <c r="AJ242" s="1586"/>
      <c r="AK242" s="1586"/>
      <c r="AL242" s="1586"/>
      <c r="AM242" s="1586"/>
      <c r="AN242"/>
      <c r="AO242"/>
      <c r="AP242"/>
      <c r="AQ242"/>
      <c r="AR242"/>
    </row>
    <row r="243" spans="2:44" hidden="1" x14ac:dyDescent="0.25">
      <c r="B243"/>
      <c r="C243"/>
      <c r="D243"/>
      <c r="E243" t="s">
        <v>568</v>
      </c>
      <c r="F243" t="s">
        <v>145</v>
      </c>
      <c r="G243"/>
      <c r="H243" s="227">
        <f>AB53</f>
        <v>0</v>
      </c>
      <c r="I243" t="s">
        <v>409</v>
      </c>
      <c r="N243"/>
      <c r="O243"/>
      <c r="P243"/>
      <c r="V243"/>
      <c r="W243"/>
      <c r="X243"/>
      <c r="Y243" s="1586"/>
      <c r="Z243" s="1586"/>
      <c r="AA243" s="1586"/>
      <c r="AB243" s="1586"/>
      <c r="AC243" s="1586"/>
      <c r="AD243" s="1586"/>
      <c r="AE243" s="1586"/>
      <c r="AF243" s="1586"/>
      <c r="AG243" s="1586"/>
      <c r="AH243" s="1586"/>
      <c r="AI243" s="1586"/>
      <c r="AJ243" s="1586"/>
      <c r="AK243" s="1586"/>
      <c r="AL243" s="1586"/>
      <c r="AM243" s="1586"/>
      <c r="AN243"/>
      <c r="AO243"/>
      <c r="AP243"/>
      <c r="AQ243"/>
      <c r="AR243"/>
    </row>
    <row r="244" spans="2:44" ht="15.65" hidden="1" customHeight="1" x14ac:dyDescent="0.25">
      <c r="B244"/>
      <c r="C244"/>
      <c r="D244"/>
      <c r="E244" t="s">
        <v>568</v>
      </c>
      <c r="F244" t="s">
        <v>98</v>
      </c>
      <c r="G244"/>
      <c r="H244" cm="1">
        <f t="array" aca="1" ref="H244" ca="1">'Electricity Usage'!$S22*VLOOKUP(_xlfn.TEXTAFTER(CELL("filename",$A$1),"]"),ElectricityPortionsByPathwayTable[],2,FALSE)</f>
        <v>0</v>
      </c>
      <c r="I244" t="s">
        <v>415</v>
      </c>
      <c r="N244"/>
      <c r="O244"/>
      <c r="P244"/>
      <c r="V244"/>
      <c r="W244"/>
      <c r="X244"/>
      <c r="Y244" s="1586"/>
      <c r="Z244" s="1586"/>
      <c r="AA244" s="1586"/>
      <c r="AB244" s="1586"/>
      <c r="AC244" s="1586"/>
      <c r="AD244" s="1586"/>
      <c r="AE244" s="1586"/>
      <c r="AF244" s="1586"/>
      <c r="AG244" s="1586"/>
      <c r="AH244" s="1586"/>
      <c r="AI244" s="1586"/>
      <c r="AJ244" s="1586"/>
      <c r="AK244" s="1586"/>
      <c r="AL244" s="1586"/>
      <c r="AM244" s="1586"/>
      <c r="AN244"/>
      <c r="AO244"/>
      <c r="AP244"/>
      <c r="AQ244"/>
      <c r="AR244"/>
    </row>
    <row r="245" spans="2:44" ht="15.65" hidden="1" customHeight="1" x14ac:dyDescent="0.25">
      <c r="B245"/>
      <c r="C245"/>
      <c r="D245"/>
      <c r="E245" t="s">
        <v>568</v>
      </c>
      <c r="F245" t="s">
        <v>99</v>
      </c>
      <c r="G245"/>
      <c r="H245" cm="1">
        <f t="array" aca="1" ref="H245" ca="1">'Electricity Usage'!$S23*VLOOKUP(_xlfn.TEXTAFTER(CELL("filename",$A$1),"]"),ElectricityPortionsByPathwayTable[],2,FALSE)</f>
        <v>0</v>
      </c>
      <c r="I245" t="s">
        <v>415</v>
      </c>
      <c r="N245"/>
      <c r="O245"/>
      <c r="P245"/>
      <c r="V245"/>
      <c r="W245"/>
      <c r="X245"/>
      <c r="Y245" s="1586"/>
      <c r="Z245" s="1586"/>
      <c r="AA245" s="1586"/>
      <c r="AB245" s="1586"/>
      <c r="AC245" s="1586"/>
      <c r="AD245" s="1586"/>
      <c r="AE245" s="1586"/>
      <c r="AF245" s="1586"/>
      <c r="AG245" s="1586"/>
      <c r="AH245" s="1586"/>
      <c r="AI245" s="1586"/>
      <c r="AJ245" s="1586"/>
      <c r="AK245" s="1586"/>
      <c r="AL245" s="1586"/>
      <c r="AM245" s="1586"/>
      <c r="AN245"/>
      <c r="AO245"/>
      <c r="AP245"/>
      <c r="AQ245"/>
      <c r="AR245"/>
    </row>
    <row r="246" spans="2:44" ht="15.65" hidden="1" customHeight="1" x14ac:dyDescent="0.25">
      <c r="B246"/>
      <c r="C246"/>
      <c r="D246"/>
      <c r="E246" t="s">
        <v>568</v>
      </c>
      <c r="F246" t="s">
        <v>100</v>
      </c>
      <c r="G246"/>
      <c r="H246" cm="1">
        <f t="array" aca="1" ref="H246" ca="1">'Electricity Usage'!$S24*VLOOKUP(_xlfn.TEXTAFTER(CELL("filename",$A$1),"]"),ElectricityPortionsByPathwayTable[],2,FALSE)</f>
        <v>0</v>
      </c>
      <c r="I246" t="s">
        <v>415</v>
      </c>
      <c r="N246"/>
      <c r="O246"/>
      <c r="P246"/>
      <c r="V246"/>
      <c r="W246"/>
      <c r="X246"/>
      <c r="Y246" s="1586"/>
      <c r="Z246" s="1586"/>
      <c r="AA246" s="1586"/>
      <c r="AB246" s="1586"/>
      <c r="AC246" s="1586"/>
      <c r="AD246" s="1586"/>
      <c r="AE246" s="1586"/>
      <c r="AF246" s="1586"/>
      <c r="AG246" s="1586"/>
      <c r="AH246" s="1586"/>
      <c r="AI246" s="1586"/>
      <c r="AJ246" s="1586"/>
      <c r="AK246" s="1586"/>
      <c r="AL246" s="1586"/>
      <c r="AM246" s="1586"/>
      <c r="AN246"/>
      <c r="AO246"/>
      <c r="AP246"/>
      <c r="AQ246"/>
      <c r="AR246"/>
    </row>
    <row r="247" spans="2:44" ht="15.65" hidden="1" customHeight="1" x14ac:dyDescent="0.25">
      <c r="B247"/>
      <c r="C247"/>
      <c r="D247"/>
      <c r="E247" t="s">
        <v>568</v>
      </c>
      <c r="F247" t="s">
        <v>101</v>
      </c>
      <c r="G247"/>
      <c r="H247" cm="1">
        <f t="array" aca="1" ref="H247" ca="1">'Electricity Usage'!$S25*VLOOKUP(_xlfn.TEXTAFTER(CELL("filename",$A$1),"]"),ElectricityPortionsByPathwayTable[],2,FALSE)</f>
        <v>0</v>
      </c>
      <c r="I247" t="s">
        <v>415</v>
      </c>
      <c r="N247"/>
      <c r="O247"/>
      <c r="P247"/>
      <c r="V247"/>
      <c r="W247"/>
      <c r="X247"/>
      <c r="Y247" s="1586"/>
      <c r="Z247" s="1586"/>
      <c r="AA247" s="1586"/>
      <c r="AB247" s="1586"/>
      <c r="AC247" s="1586"/>
      <c r="AD247" s="1586"/>
      <c r="AE247" s="1586"/>
      <c r="AF247" s="1586"/>
      <c r="AG247" s="1586"/>
      <c r="AH247" s="1586"/>
      <c r="AI247" s="1586"/>
      <c r="AJ247" s="1586"/>
      <c r="AK247" s="1586"/>
      <c r="AL247" s="1586"/>
      <c r="AM247" s="1586"/>
      <c r="AN247"/>
      <c r="AO247"/>
      <c r="AP247"/>
      <c r="AQ247"/>
      <c r="AR247"/>
    </row>
    <row r="248" spans="2:44" ht="15.65" hidden="1" customHeight="1" x14ac:dyDescent="0.25">
      <c r="B248"/>
      <c r="C248"/>
      <c r="D248"/>
      <c r="E248" t="s">
        <v>568</v>
      </c>
      <c r="F248" t="s">
        <v>418</v>
      </c>
      <c r="G248"/>
      <c r="H248" cm="1">
        <f t="array" aca="1" ref="H248" ca="1">overall_residualElectricity*VLOOKUP(_xlfn.TEXTAFTER(CELL("filename",A32),"]"),ElectricityPortionsByPathwayTable[],2,FALSE)</f>
        <v>0</v>
      </c>
      <c r="I248" t="s">
        <v>415</v>
      </c>
      <c r="N248"/>
      <c r="O248"/>
      <c r="P248"/>
      <c r="V248"/>
      <c r="W248"/>
      <c r="X248"/>
      <c r="Y248" s="1586"/>
      <c r="Z248" s="1586"/>
      <c r="AA248" s="1586"/>
      <c r="AB248" s="1586"/>
      <c r="AC248" s="1586"/>
      <c r="AD248" s="1586"/>
      <c r="AE248" s="1586"/>
      <c r="AF248" s="1586"/>
      <c r="AG248" s="1586"/>
      <c r="AH248" s="1586"/>
      <c r="AI248" s="1586"/>
      <c r="AJ248" s="1586"/>
      <c r="AK248" s="1586"/>
      <c r="AL248" s="1586"/>
      <c r="AM248" s="1586"/>
      <c r="AN248"/>
      <c r="AO248"/>
      <c r="AP248"/>
      <c r="AQ248"/>
      <c r="AR248"/>
    </row>
    <row r="249" spans="2:44" ht="15.65" hidden="1" customHeight="1" x14ac:dyDescent="0.25">
      <c r="B249"/>
      <c r="C249"/>
      <c r="D249"/>
      <c r="E249" t="s">
        <v>568</v>
      </c>
      <c r="F249" t="s">
        <v>419</v>
      </c>
      <c r="G249"/>
      <c r="H249">
        <f>overall_MarketEF</f>
        <v>0.95499999999999996</v>
      </c>
      <c r="I249" t="s">
        <v>569</v>
      </c>
      <c r="N249"/>
      <c r="O249"/>
      <c r="P249"/>
      <c r="V249"/>
      <c r="W249"/>
      <c r="X249"/>
      <c r="Y249" s="1586"/>
      <c r="Z249" s="1586"/>
      <c r="AA249" s="1586"/>
      <c r="AB249" s="1586"/>
      <c r="AC249" s="1586"/>
      <c r="AD249" s="1586"/>
      <c r="AE249" s="1586"/>
      <c r="AF249" s="1586"/>
      <c r="AG249" s="1586"/>
      <c r="AH249" s="1586"/>
      <c r="AI249" s="1586"/>
      <c r="AJ249" s="1586"/>
      <c r="AK249" s="1586"/>
      <c r="AL249" s="1586"/>
      <c r="AM249" s="1586"/>
      <c r="AN249"/>
      <c r="AO249"/>
      <c r="AP249"/>
      <c r="AQ249"/>
      <c r="AR249"/>
    </row>
    <row r="250" spans="2:44" ht="15.65" hidden="1" customHeight="1" x14ac:dyDescent="0.25">
      <c r="B250"/>
      <c r="C250"/>
      <c r="D250"/>
      <c r="E250" t="s">
        <v>568</v>
      </c>
      <c r="F250" t="s">
        <v>420</v>
      </c>
      <c r="G250"/>
      <c r="H250" cm="1">
        <f t="array" aca="1" ref="H250" ca="1">overall_totalOnsiteElecGen*VLOOKUP(_xlfn.TEXTAFTER(CELL("filename",$A$1),"]"),ElectricityPortionsByPathwayTable[],2,FALSE)</f>
        <v>0</v>
      </c>
      <c r="I250" t="s">
        <v>415</v>
      </c>
      <c r="N250"/>
      <c r="O250"/>
      <c r="P250"/>
      <c r="V250"/>
      <c r="W250"/>
      <c r="X250"/>
      <c r="Y250" s="1586"/>
      <c r="Z250" s="1586"/>
      <c r="AA250" s="1586"/>
      <c r="AB250" s="1586"/>
      <c r="AC250" s="1586"/>
      <c r="AD250" s="1586"/>
      <c r="AE250" s="1586"/>
      <c r="AF250" s="1586"/>
      <c r="AG250" s="1586"/>
      <c r="AH250" s="1586"/>
      <c r="AI250" s="1586"/>
      <c r="AJ250" s="1586"/>
      <c r="AK250" s="1586"/>
      <c r="AL250" s="1586"/>
      <c r="AM250" s="1586"/>
      <c r="AN250"/>
      <c r="AO250"/>
      <c r="AP250"/>
      <c r="AQ250"/>
      <c r="AR250"/>
    </row>
    <row r="251" spans="2:44" hidden="1" x14ac:dyDescent="0.25">
      <c r="B251"/>
      <c r="C251"/>
      <c r="D251"/>
      <c r="E251" t="s">
        <v>568</v>
      </c>
      <c r="F251" t="s">
        <v>421</v>
      </c>
      <c r="G251"/>
      <c r="H251" t="e">
        <f>overall_onsiteGenEF</f>
        <v>#DIV/0!</v>
      </c>
      <c r="I251" t="s">
        <v>569</v>
      </c>
      <c r="N251"/>
      <c r="O251"/>
      <c r="P251"/>
      <c r="V251"/>
      <c r="W251"/>
      <c r="X251"/>
      <c r="Y251" s="1586"/>
      <c r="Z251" s="1586"/>
      <c r="AA251" s="1586"/>
      <c r="AB251" s="1586"/>
      <c r="AC251" s="1586"/>
      <c r="AD251" s="1586"/>
      <c r="AE251" s="1586"/>
      <c r="AF251" s="1586"/>
      <c r="AG251" s="1586"/>
      <c r="AH251" s="1586"/>
      <c r="AI251" s="1586"/>
      <c r="AJ251" s="1586"/>
      <c r="AK251" s="1586"/>
      <c r="AL251" s="1586"/>
      <c r="AM251" s="1586"/>
      <c r="AN251"/>
      <c r="AO251"/>
      <c r="AP251"/>
      <c r="AQ251"/>
      <c r="AR251"/>
    </row>
    <row r="252" spans="2:44" hidden="1" x14ac:dyDescent="0.25">
      <c r="B252"/>
      <c r="C252"/>
      <c r="D252"/>
      <c r="E252" t="s">
        <v>568</v>
      </c>
      <c r="F252" t="s">
        <v>422</v>
      </c>
      <c r="G252"/>
      <c r="H252"/>
      <c r="I252"/>
      <c r="N252"/>
      <c r="O252"/>
      <c r="P252"/>
      <c r="V252"/>
      <c r="W252"/>
      <c r="X252"/>
      <c r="Y252" s="1586"/>
      <c r="Z252" s="1586"/>
      <c r="AA252" s="1586"/>
      <c r="AB252" s="1586"/>
      <c r="AC252" s="1586"/>
      <c r="AD252" s="1586"/>
      <c r="AE252" s="1586"/>
      <c r="AF252" s="1586"/>
      <c r="AG252" s="1586"/>
      <c r="AH252" s="1586"/>
      <c r="AI252" s="1586"/>
      <c r="AJ252" s="1586"/>
      <c r="AK252" s="1586"/>
      <c r="AL252" s="1586"/>
      <c r="AM252" s="1586"/>
      <c r="AN252"/>
      <c r="AO252"/>
      <c r="AP252"/>
      <c r="AQ252"/>
      <c r="AR252"/>
    </row>
    <row r="253" spans="2:44" hidden="1" x14ac:dyDescent="0.25">
      <c r="B253"/>
      <c r="C253"/>
      <c r="D253"/>
      <c r="E253" t="s">
        <v>568</v>
      </c>
      <c r="F253" t="s">
        <v>423</v>
      </c>
      <c r="G253" t="str">
        <f>IF('Natural Gas Reforming'!$E34&lt;&gt;"",'Natural Gas Reforming'!$E34,"")</f>
        <v/>
      </c>
      <c r="H253" t="str">
        <f>IFERROR(IF('Natural Gas Reforming'!$AB34&lt;&gt;"",'Natural Gas Reforming'!$AB34,""),"")</f>
        <v/>
      </c>
      <c r="I253" t="e">
        <f>O34/AB34</f>
        <v>#N/A</v>
      </c>
      <c r="N253"/>
      <c r="O253"/>
      <c r="P253"/>
      <c r="V253"/>
      <c r="W253"/>
      <c r="X253"/>
      <c r="Y253" s="1586"/>
      <c r="Z253" s="1586"/>
      <c r="AA253" s="1586"/>
      <c r="AB253" s="1586"/>
      <c r="AC253" s="1586"/>
      <c r="AD253" s="1586"/>
      <c r="AE253" s="1586"/>
      <c r="AF253" s="1586"/>
      <c r="AG253" s="1586"/>
      <c r="AH253" s="1586"/>
      <c r="AI253" s="1586"/>
      <c r="AJ253" s="1586"/>
      <c r="AK253" s="1586"/>
      <c r="AL253" s="1586"/>
      <c r="AM253" s="1586"/>
      <c r="AN253"/>
      <c r="AO253"/>
      <c r="AP253"/>
      <c r="AQ253"/>
      <c r="AR253"/>
    </row>
    <row r="254" spans="2:44" hidden="1" x14ac:dyDescent="0.25">
      <c r="B254"/>
      <c r="C254"/>
      <c r="D254"/>
      <c r="E254" t="s">
        <v>568</v>
      </c>
      <c r="F254" t="s">
        <v>424</v>
      </c>
      <c r="G254" t="str">
        <f>IF('Natural Gas Reforming'!$E35&lt;&gt;"",'Natural Gas Reforming'!$E35,"")</f>
        <v/>
      </c>
      <c r="H254" t="str">
        <f>IFERROR(IF('Natural Gas Reforming'!$AB35&lt;&gt;"",'Natural Gas Reforming'!$AB35,""),"")</f>
        <v/>
      </c>
      <c r="I254" t="e">
        <f>O35/AB35</f>
        <v>#N/A</v>
      </c>
      <c r="N254"/>
      <c r="O254"/>
      <c r="P254"/>
      <c r="V254"/>
      <c r="W254"/>
      <c r="X254"/>
      <c r="Y254" s="1586"/>
      <c r="Z254" s="1586"/>
      <c r="AA254" s="1586"/>
      <c r="AB254" s="1586"/>
      <c r="AC254" s="1586"/>
      <c r="AD254" s="1586"/>
      <c r="AE254" s="1586"/>
      <c r="AF254" s="1586"/>
      <c r="AG254" s="1586"/>
      <c r="AH254" s="1586"/>
      <c r="AI254" s="1586"/>
      <c r="AJ254" s="1586"/>
      <c r="AK254" s="1586"/>
      <c r="AL254" s="1586"/>
      <c r="AM254" s="1586"/>
      <c r="AN254"/>
      <c r="AO254"/>
      <c r="AP254"/>
      <c r="AQ254"/>
      <c r="AR254"/>
    </row>
    <row r="255" spans="2:44" hidden="1" x14ac:dyDescent="0.25">
      <c r="B255"/>
      <c r="C255"/>
      <c r="D255"/>
      <c r="E255" t="s">
        <v>568</v>
      </c>
      <c r="F255" t="s">
        <v>425</v>
      </c>
      <c r="G255" t="str">
        <f>IF('Natural Gas Reforming'!$E36&lt;&gt;"",'Natural Gas Reforming'!$E36,"")</f>
        <v/>
      </c>
      <c r="H255" t="str">
        <f>IFERROR(IF('Natural Gas Reforming'!$AB36&lt;&gt;"",'Natural Gas Reforming'!$AB36,""),"")</f>
        <v/>
      </c>
      <c r="I255" t="e">
        <f>O36/AB36</f>
        <v>#N/A</v>
      </c>
      <c r="N255"/>
      <c r="O255"/>
      <c r="P255"/>
      <c r="V255"/>
      <c r="W255"/>
      <c r="X255"/>
      <c r="Y255" s="1586"/>
      <c r="Z255" s="1586"/>
      <c r="AA255" s="1586"/>
      <c r="AB255" s="1586"/>
      <c r="AC255" s="1586"/>
      <c r="AD255" s="1586"/>
      <c r="AE255" s="1586"/>
      <c r="AF255" s="1586"/>
      <c r="AG255" s="1586"/>
      <c r="AH255" s="1586"/>
      <c r="AI255" s="1586"/>
      <c r="AJ255" s="1586"/>
      <c r="AK255" s="1586"/>
      <c r="AL255" s="1586"/>
      <c r="AM255" s="1586"/>
      <c r="AN255"/>
      <c r="AO255"/>
      <c r="AP255"/>
      <c r="AQ255"/>
      <c r="AR255"/>
    </row>
    <row r="256" spans="2:44" s="1164" customFormat="1" hidden="1" x14ac:dyDescent="0.25">
      <c r="B256"/>
      <c r="C256"/>
      <c r="D256"/>
      <c r="E256" t="s">
        <v>568</v>
      </c>
      <c r="F256" t="s">
        <v>426</v>
      </c>
      <c r="G256" s="227">
        <f>E44</f>
        <v>0</v>
      </c>
      <c r="H256" t="e">
        <f>AB44*VLOOKUP("m3",Table13[],2,FALSE)</f>
        <v>#N/A</v>
      </c>
      <c r="I256" t="e">
        <f>O44/(AB44*VLOOKUP("m3",Table13[],2,FALSE))</f>
        <v>#N/A</v>
      </c>
      <c r="X256" s="1234"/>
      <c r="Y256" s="1601"/>
      <c r="Z256" s="1601"/>
      <c r="AA256" s="1601"/>
      <c r="AB256" s="1601"/>
      <c r="AC256" s="1601"/>
      <c r="AD256" s="1601"/>
      <c r="AE256" s="1601"/>
      <c r="AF256" s="1601"/>
      <c r="AG256" s="1601"/>
      <c r="AH256" s="1601"/>
      <c r="AI256" s="1601"/>
      <c r="AJ256" s="1601"/>
      <c r="AK256" s="1601"/>
      <c r="AL256" s="1601"/>
      <c r="AM256" s="1601"/>
      <c r="AN256" s="1234"/>
      <c r="AO256" s="1234"/>
      <c r="AP256" s="1234"/>
      <c r="AQ256" s="1234"/>
      <c r="AR256" s="1234"/>
    </row>
    <row r="257" spans="2:44" s="1069" customFormat="1" hidden="1" x14ac:dyDescent="0.25">
      <c r="B257"/>
      <c r="C257"/>
      <c r="D257"/>
      <c r="E257" t="s">
        <v>568</v>
      </c>
      <c r="F257" t="s">
        <v>428</v>
      </c>
      <c r="G257" t="str">
        <f>IF('Natural Gas Reforming'!E70&lt;&gt;"",'Natural Gas Reforming'!E70,"")</f>
        <v/>
      </c>
      <c r="H257" t="str">
        <f>IFERROR(IF(Y70&lt;&gt;"",'Natural Gas Reforming'!Y70,""),"")</f>
        <v/>
      </c>
      <c r="I257" t="e">
        <f>AD70</f>
        <v>#N/A</v>
      </c>
      <c r="X257" s="1234"/>
      <c r="Y257" s="1601"/>
      <c r="Z257" s="1601"/>
      <c r="AA257" s="1601"/>
      <c r="AB257" s="1601"/>
      <c r="AC257" s="1601"/>
      <c r="AD257" s="1601"/>
      <c r="AE257" s="1601"/>
      <c r="AF257" s="1601"/>
      <c r="AG257" s="1601"/>
      <c r="AH257" s="1601"/>
      <c r="AI257" s="1601"/>
      <c r="AJ257" s="1601"/>
      <c r="AK257" s="1601"/>
      <c r="AL257" s="1601"/>
      <c r="AM257" s="1601"/>
      <c r="AN257" s="1234"/>
      <c r="AO257" s="1234"/>
      <c r="AP257" s="1234"/>
      <c r="AQ257" s="1234"/>
      <c r="AR257" s="1234"/>
    </row>
    <row r="258" spans="2:44" s="1069" customFormat="1" hidden="1" x14ac:dyDescent="0.25">
      <c r="B258"/>
      <c r="C258"/>
      <c r="D258"/>
      <c r="E258" t="s">
        <v>568</v>
      </c>
      <c r="F258" t="s">
        <v>429</v>
      </c>
      <c r="G258" t="str">
        <f>IF('Natural Gas Reforming'!E71&lt;&gt;"",'Natural Gas Reforming'!E71,"")</f>
        <v/>
      </c>
      <c r="H258" t="str">
        <f>IFERROR(IF('Natural Gas Reforming'!#REF!&lt;&gt;"",'Natural Gas Reforming'!#REF!,""),"")</f>
        <v/>
      </c>
      <c r="I258" t="e">
        <f>AD71</f>
        <v>#N/A</v>
      </c>
      <c r="X258" s="1234"/>
      <c r="Y258" s="1601"/>
      <c r="Z258" s="1601"/>
      <c r="AA258" s="1601"/>
      <c r="AB258" s="1601"/>
      <c r="AC258" s="1601"/>
      <c r="AD258" s="1601"/>
      <c r="AE258" s="1601"/>
      <c r="AF258" s="1601"/>
      <c r="AG258" s="1601"/>
      <c r="AH258" s="1601"/>
      <c r="AI258" s="1601"/>
      <c r="AJ258" s="1601"/>
      <c r="AK258" s="1601"/>
      <c r="AL258" s="1601"/>
      <c r="AM258" s="1601"/>
      <c r="AN258" s="1234"/>
      <c r="AO258" s="1234"/>
      <c r="AP258" s="1234"/>
      <c r="AQ258" s="1234"/>
      <c r="AR258" s="1234"/>
    </row>
    <row r="259" spans="2:44" s="1069" customFormat="1" hidden="1" x14ac:dyDescent="0.25">
      <c r="B259"/>
      <c r="C259"/>
      <c r="D259"/>
      <c r="E259" t="s">
        <v>568</v>
      </c>
      <c r="F259" t="s">
        <v>430</v>
      </c>
      <c r="G259" t="str">
        <f>IF('Natural Gas Reforming'!E72&lt;&gt;"",'Natural Gas Reforming'!E72,"")</f>
        <v/>
      </c>
      <c r="H259" s="227" t="str">
        <f>IFERROR(IF('Natural Gas Reforming'!#REF!&lt;&gt;"",'Natural Gas Reforming'!#REF!,""),"")</f>
        <v/>
      </c>
      <c r="I259" t="e">
        <f>AD72</f>
        <v>#N/A</v>
      </c>
      <c r="X259" s="1234"/>
      <c r="Y259" s="1601"/>
      <c r="Z259" s="1601"/>
      <c r="AA259" s="1601"/>
      <c r="AB259" s="1601"/>
      <c r="AC259" s="1601"/>
      <c r="AD259" s="1601"/>
      <c r="AE259" s="1601"/>
      <c r="AF259" s="1601"/>
      <c r="AG259" s="1601"/>
      <c r="AH259" s="1601"/>
      <c r="AI259" s="1601"/>
      <c r="AJ259" s="1601"/>
      <c r="AK259" s="1601"/>
      <c r="AL259" s="1601"/>
      <c r="AM259" s="1601"/>
      <c r="AN259" s="1234"/>
      <c r="AO259" s="1234"/>
      <c r="AP259" s="1234"/>
      <c r="AQ259" s="1234"/>
      <c r="AR259" s="1234"/>
    </row>
    <row r="260" spans="2:44" s="1069" customFormat="1" ht="15" hidden="1" customHeight="1" x14ac:dyDescent="0.25">
      <c r="B260"/>
      <c r="C260"/>
      <c r="D260"/>
      <c r="E260" t="s">
        <v>568</v>
      </c>
      <c r="F260" t="s">
        <v>431</v>
      </c>
      <c r="G260"/>
      <c r="H260" t="e">
        <f>Z166</f>
        <v>#N/A</v>
      </c>
      <c r="I260" t="e">
        <f>Y166</f>
        <v>#N/A</v>
      </c>
      <c r="X260" s="1234"/>
      <c r="Y260" s="1601"/>
      <c r="Z260" s="1601"/>
      <c r="AA260" s="1601"/>
      <c r="AB260" s="1601"/>
      <c r="AC260" s="1601"/>
      <c r="AD260" s="1601"/>
      <c r="AE260" s="1601"/>
      <c r="AF260" s="1601"/>
      <c r="AG260" s="1601"/>
      <c r="AH260" s="1601"/>
      <c r="AI260" s="1601"/>
      <c r="AJ260" s="1601"/>
      <c r="AK260" s="1601"/>
      <c r="AL260" s="1601"/>
      <c r="AM260" s="1601"/>
      <c r="AN260" s="1234"/>
      <c r="AO260" s="1234"/>
      <c r="AP260" s="1234"/>
      <c r="AQ260" s="1234"/>
      <c r="AR260" s="1234"/>
    </row>
    <row r="261" spans="2:44" s="1069" customFormat="1" ht="15" hidden="1" customHeight="1" x14ac:dyDescent="0.25">
      <c r="B261"/>
      <c r="C261"/>
      <c r="D261"/>
      <c r="E261" t="s">
        <v>568</v>
      </c>
      <c r="F261" t="s">
        <v>432</v>
      </c>
      <c r="G261"/>
      <c r="H261" s="227" t="e">
        <f>Z167</f>
        <v>#N/A</v>
      </c>
      <c r="I261" s="1313" t="e">
        <f>Y167</f>
        <v>#N/A</v>
      </c>
      <c r="X261" s="1234"/>
      <c r="Y261" s="1601"/>
      <c r="Z261" s="1601"/>
      <c r="AA261" s="1601"/>
      <c r="AB261" s="1601"/>
      <c r="AC261" s="1601"/>
      <c r="AD261" s="1601"/>
      <c r="AE261" s="1601"/>
      <c r="AF261" s="1601"/>
      <c r="AG261" s="1601"/>
      <c r="AH261" s="1601"/>
      <c r="AI261" s="1601"/>
      <c r="AJ261" s="1601"/>
      <c r="AK261" s="1601"/>
      <c r="AL261" s="1601"/>
      <c r="AM261" s="1601"/>
      <c r="AN261" s="1234"/>
      <c r="AO261" s="1234"/>
      <c r="AP261" s="1234"/>
      <c r="AQ261" s="1234"/>
      <c r="AR261" s="1234"/>
    </row>
    <row r="262" spans="2:44" s="1069" customFormat="1" hidden="1" x14ac:dyDescent="0.25">
      <c r="B262"/>
      <c r="C262"/>
      <c r="D262"/>
      <c r="E262" t="s">
        <v>568</v>
      </c>
      <c r="F262" t="s">
        <v>433</v>
      </c>
      <c r="G262"/>
      <c r="H262" s="227" t="e">
        <f>Z168</f>
        <v>#N/A</v>
      </c>
      <c r="I262" s="1312" t="e">
        <f>Y168</f>
        <v>#N/A</v>
      </c>
      <c r="X262" s="1234"/>
      <c r="Y262" s="1601"/>
      <c r="Z262" s="1601"/>
      <c r="AA262" s="1601"/>
      <c r="AB262" s="1601"/>
      <c r="AC262" s="1601"/>
      <c r="AD262" s="1601"/>
      <c r="AE262" s="1601"/>
      <c r="AF262" s="1601"/>
      <c r="AG262" s="1601"/>
      <c r="AH262" s="1601"/>
      <c r="AI262" s="1601"/>
      <c r="AJ262" s="1601"/>
      <c r="AK262" s="1601"/>
      <c r="AL262" s="1601"/>
      <c r="AM262" s="1601"/>
      <c r="AN262" s="1234"/>
      <c r="AO262" s="1234"/>
      <c r="AP262" s="1234"/>
      <c r="AQ262" s="1234"/>
      <c r="AR262" s="1234"/>
    </row>
    <row r="263" spans="2:44" s="1069" customFormat="1" hidden="1" x14ac:dyDescent="0.25">
      <c r="B263"/>
      <c r="C263"/>
      <c r="D263"/>
      <c r="E263" t="s">
        <v>568</v>
      </c>
      <c r="F263" t="s">
        <v>570</v>
      </c>
      <c r="H263" s="1579" t="e">
        <f>SUM(AA166:AA168)</f>
        <v>#N/A</v>
      </c>
      <c r="I263" s="1579" t="s">
        <v>90</v>
      </c>
      <c r="X263" s="1234"/>
      <c r="Y263" s="1891"/>
      <c r="Z263" s="1891"/>
      <c r="AA263" s="1601"/>
      <c r="AB263" s="1799"/>
      <c r="AC263" s="1800"/>
      <c r="AD263" s="1601"/>
      <c r="AE263" s="1601"/>
      <c r="AF263" s="1601"/>
      <c r="AG263" s="1601"/>
      <c r="AH263" s="1601"/>
      <c r="AI263" s="1601"/>
      <c r="AJ263" s="1601"/>
      <c r="AK263" s="1601"/>
      <c r="AL263" s="1601"/>
      <c r="AM263" s="1601"/>
      <c r="AN263" s="1234"/>
      <c r="AO263" s="1234"/>
      <c r="AP263" s="1234"/>
      <c r="AQ263" s="1234"/>
      <c r="AR263" s="1234"/>
    </row>
    <row r="264" spans="2:44" s="1069" customFormat="1" hidden="1" x14ac:dyDescent="0.25">
      <c r="B264"/>
      <c r="C264"/>
      <c r="D264"/>
      <c r="E264" t="s">
        <v>568</v>
      </c>
      <c r="F264" t="s">
        <v>434</v>
      </c>
      <c r="G264">
        <f>'Electricity Usage'!$E$51</f>
        <v>0</v>
      </c>
      <c r="H264">
        <f>SUMIF('Natural Gas Reforming'!$Z$166:$Z$168,"&gt;0")</f>
        <v>0</v>
      </c>
      <c r="I264" t="str" cm="1">
        <f t="array" ref="I264">IF(_xlfn.ANCHORARRAY(G264)&lt;&gt;0,('Electricity Usage'!$S$51)*'Electricity Usage'!$T$51/1000,"")</f>
        <v/>
      </c>
      <c r="X264" s="1234"/>
      <c r="Y264" s="1891"/>
      <c r="Z264" s="1891"/>
      <c r="AA264" s="1601"/>
      <c r="AB264" s="1799"/>
      <c r="AC264" s="1800"/>
      <c r="AD264" s="1601"/>
      <c r="AE264" s="1601"/>
      <c r="AF264" s="1601"/>
      <c r="AG264" s="1601"/>
      <c r="AH264" s="1601"/>
      <c r="AI264" s="1601"/>
      <c r="AJ264" s="1601"/>
      <c r="AK264" s="1601"/>
      <c r="AL264" s="1601"/>
      <c r="AM264" s="1601"/>
      <c r="AN264" s="1234"/>
      <c r="AO264" s="1234"/>
      <c r="AP264" s="1234"/>
      <c r="AQ264" s="1234"/>
      <c r="AR264" s="1234"/>
    </row>
    <row r="265" spans="2:44" s="1069" customFormat="1" hidden="1" x14ac:dyDescent="0.25">
      <c r="B265"/>
      <c r="C265"/>
      <c r="D265"/>
      <c r="E265" t="s">
        <v>568</v>
      </c>
      <c r="F265" t="s">
        <v>435</v>
      </c>
      <c r="G265" s="227">
        <f>'Electricity Usage'!$E$38</f>
        <v>0</v>
      </c>
      <c r="H265" t="str" cm="1">
        <f t="array" aca="1" ref="H265" ca="1">IF(_xlfn.ANCHORARRAY(G265)&lt;&gt;0,overall_otherOnsiteElecGenViaCombustionFuelAmount*VLOOKUP(_xlfn.TEXTAFTER(CELL("filename",$A$1),"]"),ElectricityPortionsByPathwayTable[],3,FALSE),"")</f>
        <v/>
      </c>
      <c r="I265" t="str" cm="1">
        <f t="array" ref="I265">IF(_xlfn.ANCHORARRAY(G265)&lt;&gt;0,('Electricity Usage'!$S$38)*'Electricity Usage'!$T$38/1000,"")</f>
        <v/>
      </c>
      <c r="X265" s="1234"/>
      <c r="Y265" s="1601"/>
      <c r="Z265" s="1601"/>
      <c r="AA265" s="1601"/>
      <c r="AB265" s="1601"/>
      <c r="AC265" s="1601"/>
      <c r="AD265" s="1601"/>
      <c r="AE265" s="1601"/>
      <c r="AF265" s="1601"/>
      <c r="AG265" s="1601"/>
      <c r="AH265" s="1601"/>
      <c r="AI265" s="1601"/>
      <c r="AJ265" s="1601"/>
      <c r="AK265" s="1601"/>
      <c r="AL265" s="1601"/>
      <c r="AM265" s="1601"/>
      <c r="AN265" s="1234"/>
      <c r="AO265" s="1234"/>
      <c r="AP265" s="1234"/>
      <c r="AQ265" s="1234"/>
      <c r="AR265" s="1234"/>
    </row>
    <row r="266" spans="2:44" s="1164" customFormat="1" hidden="1" x14ac:dyDescent="0.25">
      <c r="B266"/>
      <c r="C266"/>
      <c r="D266"/>
      <c r="E266" t="s">
        <v>568</v>
      </c>
      <c r="F266" t="s">
        <v>436</v>
      </c>
      <c r="G266" s="227">
        <f>'Natural Gas Reforming'!$F96</f>
        <v>0</v>
      </c>
      <c r="H266" s="227" t="e">
        <f>'Natural Gas Reforming'!$AC96*1000</f>
        <v>#N/A</v>
      </c>
      <c r="I266" s="227" t="e">
        <f>('Natural Gas Reforming'!$Y96*'Natural Gas Reforming'!$Z96/1000)</f>
        <v>#VALUE!</v>
      </c>
      <c r="X266" s="1234"/>
      <c r="Y266" s="1601"/>
      <c r="Z266" s="1601"/>
      <c r="AA266" s="1601"/>
      <c r="AB266" s="1601"/>
      <c r="AC266" s="1601"/>
      <c r="AD266" s="1601"/>
      <c r="AE266" s="1601"/>
      <c r="AF266" s="1601"/>
      <c r="AG266" s="1601"/>
      <c r="AH266" s="1601"/>
      <c r="AI266" s="1601"/>
      <c r="AJ266" s="1601"/>
      <c r="AK266" s="1601"/>
      <c r="AL266" s="1601"/>
      <c r="AM266" s="1601"/>
      <c r="AN266" s="1234"/>
      <c r="AO266" s="1234"/>
      <c r="AP266" s="1234"/>
      <c r="AQ266" s="1234"/>
      <c r="AR266" s="1234"/>
    </row>
    <row r="267" spans="2:44" s="1069" customFormat="1" hidden="1" x14ac:dyDescent="0.25">
      <c r="B267"/>
      <c r="C267"/>
      <c r="D267"/>
      <c r="E267" t="s">
        <v>568</v>
      </c>
      <c r="F267" t="s">
        <v>437</v>
      </c>
      <c r="G267" s="227">
        <f>'Natural Gas Reforming'!$F97</f>
        <v>0</v>
      </c>
      <c r="H267" s="227" t="e">
        <f>'Natural Gas Reforming'!$AC97*1000</f>
        <v>#N/A</v>
      </c>
      <c r="I267" s="227" t="e">
        <f>('Natural Gas Reforming'!$Y97*'Natural Gas Reforming'!$Z97/1000)</f>
        <v>#VALUE!</v>
      </c>
      <c r="Y267" s="1774"/>
      <c r="Z267" s="1774"/>
      <c r="AA267" s="1774"/>
      <c r="AB267" s="1774"/>
      <c r="AC267" s="1774"/>
      <c r="AD267" s="1774"/>
      <c r="AE267" s="1774"/>
      <c r="AF267" s="1774"/>
      <c r="AG267" s="1774"/>
      <c r="AH267" s="1774"/>
      <c r="AI267" s="1774"/>
      <c r="AJ267" s="1774"/>
      <c r="AK267" s="1774"/>
      <c r="AL267" s="1774"/>
      <c r="AM267" s="1774"/>
      <c r="AN267" s="1164"/>
      <c r="AO267" s="1164"/>
      <c r="AP267" s="1164"/>
      <c r="AQ267" s="1164"/>
      <c r="AR267" s="1164"/>
    </row>
    <row r="268" spans="2:44" s="1069" customFormat="1" hidden="1" x14ac:dyDescent="0.25">
      <c r="B268"/>
      <c r="C268"/>
      <c r="D268"/>
      <c r="E268" t="s">
        <v>568</v>
      </c>
      <c r="F268" t="s">
        <v>438</v>
      </c>
      <c r="G268" s="227">
        <f>'Natural Gas Reforming'!$F98</f>
        <v>0</v>
      </c>
      <c r="H268" s="227" t="e">
        <f>'Natural Gas Reforming'!$AC98*1000</f>
        <v>#N/A</v>
      </c>
      <c r="I268" s="227" t="e">
        <f>('Natural Gas Reforming'!$Y98*'Natural Gas Reforming'!$Z98/1000)</f>
        <v>#VALUE!</v>
      </c>
      <c r="Y268" s="1774"/>
      <c r="Z268" s="1774"/>
      <c r="AA268" s="1774"/>
      <c r="AB268" s="1774"/>
      <c r="AC268" s="1774"/>
      <c r="AD268" s="1774"/>
      <c r="AE268" s="1774"/>
      <c r="AF268" s="1774"/>
      <c r="AG268" s="1774"/>
      <c r="AH268" s="1774"/>
      <c r="AI268" s="1774"/>
      <c r="AJ268" s="1774"/>
      <c r="AK268" s="1774"/>
      <c r="AL268" s="1774"/>
      <c r="AM268" s="1774"/>
      <c r="AN268" s="1164"/>
      <c r="AO268" s="1164"/>
      <c r="AP268" s="1164"/>
      <c r="AQ268" s="1164"/>
      <c r="AR268" s="1164"/>
    </row>
    <row r="269" spans="2:44" s="1069" customFormat="1" hidden="1" x14ac:dyDescent="0.25">
      <c r="B269"/>
      <c r="C269"/>
      <c r="D269"/>
      <c r="E269" t="s">
        <v>568</v>
      </c>
      <c r="F269" t="s">
        <v>439</v>
      </c>
      <c r="G269" s="227">
        <f>'Natural Gas Reforming'!$F99</f>
        <v>0</v>
      </c>
      <c r="H269" s="227" t="e">
        <f>'Natural Gas Reforming'!$AC99*1000</f>
        <v>#N/A</v>
      </c>
      <c r="I269" s="227" t="e">
        <f>('Natural Gas Reforming'!$Y99*'Natural Gas Reforming'!$Z99/1000)</f>
        <v>#VALUE!</v>
      </c>
      <c r="Y269" s="1579"/>
      <c r="Z269" s="1579"/>
      <c r="AA269" s="1579"/>
      <c r="AB269" s="1579"/>
      <c r="AC269" s="1579"/>
      <c r="AD269" s="1579"/>
      <c r="AE269" s="1579"/>
      <c r="AF269" s="1579"/>
      <c r="AG269" s="1579"/>
      <c r="AH269" s="1579"/>
      <c r="AI269" s="1579"/>
      <c r="AJ269" s="1579"/>
      <c r="AK269" s="1579"/>
      <c r="AL269" s="1579"/>
      <c r="AM269" s="1579"/>
    </row>
    <row r="270" spans="2:44" s="1069" customFormat="1" hidden="1" x14ac:dyDescent="0.25">
      <c r="B270"/>
      <c r="C270"/>
      <c r="D270"/>
      <c r="E270" t="s">
        <v>568</v>
      </c>
      <c r="F270" t="s">
        <v>440</v>
      </c>
      <c r="G270" s="227">
        <f>'Natural Gas Reforming'!$F100</f>
        <v>0</v>
      </c>
      <c r="H270" s="227" t="e">
        <f>'Natural Gas Reforming'!$AC100*1000</f>
        <v>#N/A</v>
      </c>
      <c r="I270" s="227" t="e">
        <f>('Natural Gas Reforming'!$Y100*'Natural Gas Reforming'!$Z100/1000)</f>
        <v>#VALUE!</v>
      </c>
      <c r="Y270" s="1579"/>
      <c r="Z270" s="1579"/>
      <c r="AA270" s="1579"/>
      <c r="AB270" s="1579"/>
      <c r="AC270" s="1579"/>
      <c r="AD270" s="1579"/>
      <c r="AE270" s="1579"/>
      <c r="AF270" s="1579"/>
      <c r="AG270" s="1579"/>
      <c r="AH270" s="1579"/>
      <c r="AI270" s="1579"/>
      <c r="AJ270" s="1579"/>
      <c r="AK270" s="1579"/>
      <c r="AL270" s="1579"/>
      <c r="AM270" s="1579"/>
    </row>
    <row r="271" spans="2:44" s="1069" customFormat="1" hidden="1" x14ac:dyDescent="0.25">
      <c r="B271"/>
      <c r="C271"/>
      <c r="D271"/>
      <c r="E271" t="s">
        <v>568</v>
      </c>
      <c r="F271" t="s">
        <v>178</v>
      </c>
      <c r="G271"/>
      <c r="H271" t="s">
        <v>369</v>
      </c>
      <c r="I271"/>
      <c r="Y271" s="1579"/>
      <c r="Z271" s="1579"/>
      <c r="AA271" s="1579"/>
      <c r="AB271" s="1579"/>
      <c r="AC271" s="1579"/>
      <c r="AD271" s="1579"/>
      <c r="AE271" s="1579"/>
      <c r="AF271" s="1579"/>
      <c r="AG271" s="1579"/>
      <c r="AH271" s="1579"/>
      <c r="AI271" s="1579"/>
      <c r="AJ271" s="1579"/>
      <c r="AK271" s="1579"/>
      <c r="AL271" s="1579"/>
      <c r="AM271" s="1579"/>
    </row>
    <row r="272" spans="2:44" s="1069" customFormat="1" hidden="1" x14ac:dyDescent="0.25">
      <c r="B272"/>
      <c r="C272"/>
      <c r="D272"/>
      <c r="E272" t="s">
        <v>568</v>
      </c>
      <c r="F272" t="s">
        <v>179</v>
      </c>
      <c r="G272"/>
      <c r="H272" t="s">
        <v>369</v>
      </c>
      <c r="I272"/>
      <c r="Y272" s="1579"/>
      <c r="Z272" s="1579"/>
      <c r="AA272" s="1579"/>
      <c r="AB272" s="1579"/>
      <c r="AC272" s="1579"/>
      <c r="AD272" s="1579"/>
      <c r="AE272" s="1579"/>
      <c r="AF272" s="1579"/>
      <c r="AG272" s="1579"/>
      <c r="AH272" s="1579"/>
      <c r="AI272" s="1579"/>
      <c r="AJ272" s="1579"/>
      <c r="AK272" s="1579"/>
      <c r="AL272" s="1579"/>
      <c r="AM272" s="1579"/>
    </row>
    <row r="273" spans="2:44 16384:16384" s="1069" customFormat="1" hidden="1" x14ac:dyDescent="0.25">
      <c r="B273"/>
      <c r="C273"/>
      <c r="D273"/>
      <c r="E273" t="s">
        <v>568</v>
      </c>
      <c r="F273" t="s">
        <v>180</v>
      </c>
      <c r="G273"/>
      <c r="H273" t="s">
        <v>369</v>
      </c>
      <c r="I273"/>
      <c r="Y273" s="1579"/>
      <c r="Z273" s="1801"/>
      <c r="AA273" s="1801"/>
      <c r="AB273" s="1579"/>
      <c r="AC273" s="1579"/>
      <c r="AD273" s="1579"/>
      <c r="AE273" s="1579"/>
      <c r="AF273" s="1579"/>
      <c r="AG273" s="1579"/>
      <c r="AH273" s="1579"/>
      <c r="AI273" s="1579"/>
      <c r="AJ273" s="1579"/>
      <c r="AK273" s="1579"/>
      <c r="AL273" s="1579"/>
      <c r="AM273" s="1579"/>
    </row>
    <row r="274" spans="2:44 16384:16384" hidden="1" x14ac:dyDescent="0.25">
      <c r="B274"/>
      <c r="C274"/>
      <c r="D274"/>
      <c r="E274" t="s">
        <v>568</v>
      </c>
      <c r="F274" t="s">
        <v>441</v>
      </c>
      <c r="G274"/>
      <c r="H274" t="s">
        <v>369</v>
      </c>
      <c r="I274"/>
      <c r="N274"/>
      <c r="O274"/>
      <c r="P274"/>
      <c r="V274"/>
      <c r="W274"/>
      <c r="X274"/>
      <c r="Y274" s="1586"/>
      <c r="Z274" s="1586"/>
      <c r="AA274" s="1586"/>
      <c r="AB274" s="1586"/>
      <c r="AC274" s="1586"/>
      <c r="AD274" s="1586"/>
      <c r="AE274" s="1586"/>
      <c r="AF274" s="1586"/>
      <c r="AG274" s="1586"/>
      <c r="AH274" s="1586"/>
      <c r="AI274" s="1586"/>
      <c r="AJ274" s="1586"/>
      <c r="AK274" s="1586"/>
      <c r="AL274" s="1586"/>
      <c r="AM274" s="1586"/>
      <c r="AN274"/>
      <c r="AO274"/>
      <c r="AP274"/>
      <c r="AQ274"/>
      <c r="AR274"/>
    </row>
    <row r="275" spans="2:44 16384:16384" hidden="1" x14ac:dyDescent="0.25">
      <c r="B275"/>
      <c r="C275"/>
      <c r="D275"/>
      <c r="E275" t="s">
        <v>568</v>
      </c>
      <c r="F275" t="s">
        <v>442</v>
      </c>
      <c r="G275"/>
      <c r="H275">
        <f>'Natural Gas Reforming'!$E$13</f>
        <v>0</v>
      </c>
      <c r="I275"/>
      <c r="N275"/>
      <c r="O275"/>
      <c r="P275"/>
      <c r="V275"/>
      <c r="W275"/>
      <c r="X275"/>
      <c r="Y275" s="1586"/>
      <c r="Z275" s="1586"/>
      <c r="AA275" s="1586"/>
      <c r="AB275" s="1586"/>
      <c r="AC275" s="1586"/>
      <c r="AD275" s="1586"/>
      <c r="AE275" s="1586"/>
      <c r="AF275" s="1586"/>
      <c r="AG275" s="1586"/>
      <c r="AH275" s="1586"/>
      <c r="AI275" s="1586"/>
      <c r="AJ275" s="1586"/>
      <c r="AK275" s="1586"/>
      <c r="AL275" s="1586"/>
      <c r="AM275" s="1586"/>
      <c r="AN275"/>
      <c r="AO275"/>
      <c r="AP275"/>
      <c r="AQ275"/>
      <c r="AR275"/>
    </row>
    <row r="276" spans="2:44 16384:16384" hidden="1" x14ac:dyDescent="0.25">
      <c r="B276"/>
      <c r="C276"/>
      <c r="D276"/>
      <c r="E276" t="s">
        <v>568</v>
      </c>
      <c r="F276" t="s">
        <v>499</v>
      </c>
      <c r="G276"/>
      <c r="H276">
        <f>'Natural Gas Reforming'!$E$14</f>
        <v>0</v>
      </c>
      <c r="I276"/>
      <c r="N276"/>
      <c r="O276"/>
      <c r="P276"/>
      <c r="V276"/>
      <c r="W276"/>
      <c r="X276"/>
      <c r="Y276" s="1586"/>
      <c r="Z276" s="1586"/>
      <c r="AA276" s="1586"/>
      <c r="AB276" s="1586"/>
      <c r="AC276" s="1586"/>
      <c r="AD276" s="1586"/>
      <c r="AE276" s="1586"/>
      <c r="AF276" s="1586"/>
      <c r="AG276" s="1586"/>
      <c r="AH276" s="1586"/>
      <c r="AI276" s="1586"/>
      <c r="AJ276" s="1586"/>
      <c r="AK276" s="1586"/>
      <c r="AL276" s="1586"/>
      <c r="AM276" s="1586"/>
      <c r="AN276"/>
      <c r="AO276"/>
      <c r="AP276"/>
      <c r="AQ276"/>
      <c r="AR276"/>
    </row>
    <row r="277" spans="2:44 16384:16384" hidden="1" x14ac:dyDescent="0.25">
      <c r="B277"/>
      <c r="C277"/>
      <c r="D277"/>
      <c r="E277" t="s">
        <v>568</v>
      </c>
      <c r="F277" t="s">
        <v>443</v>
      </c>
      <c r="G277"/>
      <c r="H277" s="227">
        <f>E15</f>
        <v>0</v>
      </c>
      <c r="I277"/>
      <c r="N277"/>
      <c r="O277"/>
      <c r="P277"/>
      <c r="V277"/>
      <c r="W277"/>
      <c r="X277"/>
      <c r="Y277" s="1586"/>
      <c r="Z277" s="1586"/>
      <c r="AA277" s="1586"/>
      <c r="AB277" s="1586"/>
      <c r="AC277" s="1586"/>
      <c r="AD277" s="1586"/>
      <c r="AE277" s="1586"/>
      <c r="AF277" s="1586"/>
      <c r="AG277" s="1586"/>
      <c r="AH277" s="1586"/>
      <c r="AI277" s="1586"/>
      <c r="AJ277" s="1586"/>
      <c r="AK277" s="1586"/>
      <c r="AL277" s="1586"/>
      <c r="AM277" s="1586"/>
      <c r="AN277"/>
      <c r="AO277"/>
      <c r="AP277"/>
      <c r="AQ277"/>
      <c r="AR277"/>
    </row>
    <row r="278" spans="2:44 16384:16384" hidden="1" x14ac:dyDescent="0.25">
      <c r="B278"/>
      <c r="C278"/>
      <c r="D278"/>
      <c r="E278" t="s">
        <v>568</v>
      </c>
      <c r="F278" t="s">
        <v>444</v>
      </c>
      <c r="G278"/>
      <c r="H278">
        <f>'Natural Gas Reforming'!$E$16</f>
        <v>0</v>
      </c>
      <c r="I278"/>
      <c r="N278"/>
      <c r="O278"/>
      <c r="P278"/>
      <c r="V278"/>
      <c r="W278"/>
      <c r="X278"/>
      <c r="Y278" s="1586"/>
      <c r="Z278" s="1586"/>
      <c r="AA278" s="1586"/>
      <c r="AB278" s="1586"/>
      <c r="AC278" s="1586"/>
      <c r="AD278" s="1586"/>
      <c r="AE278" s="1586"/>
      <c r="AF278" s="1586"/>
      <c r="AG278" s="1586"/>
      <c r="AH278" s="1586"/>
      <c r="AI278" s="1586"/>
      <c r="AJ278" s="1586"/>
      <c r="AK278" s="1586"/>
      <c r="AL278" s="1586"/>
      <c r="AM278" s="1586"/>
      <c r="AN278"/>
      <c r="AO278"/>
      <c r="AP278"/>
      <c r="AQ278"/>
      <c r="AR278"/>
    </row>
    <row r="279" spans="2:44 16384:16384" s="1164" customFormat="1" hidden="1" x14ac:dyDescent="0.25">
      <c r="B279"/>
      <c r="C279"/>
      <c r="D279"/>
      <c r="E279" t="s">
        <v>568</v>
      </c>
      <c r="F279" t="s">
        <v>445</v>
      </c>
      <c r="G279"/>
      <c r="H279"/>
      <c r="I279"/>
      <c r="N279"/>
      <c r="O279"/>
      <c r="P279"/>
      <c r="V279"/>
      <c r="W279"/>
      <c r="X279"/>
      <c r="Y279" s="1586"/>
      <c r="Z279" s="1586"/>
      <c r="AA279" s="1586"/>
      <c r="AB279" s="1586"/>
      <c r="AC279" s="1586"/>
      <c r="AD279" s="1586"/>
      <c r="AE279" s="1586"/>
      <c r="AF279" s="1586"/>
      <c r="AG279" s="1586"/>
      <c r="AH279" s="1586"/>
      <c r="AI279" s="1586"/>
      <c r="AJ279" s="1586"/>
      <c r="AK279" s="1586"/>
      <c r="AL279" s="1586"/>
      <c r="AM279" s="1586"/>
      <c r="AN279"/>
      <c r="AO279"/>
      <c r="AP279"/>
      <c r="AQ279"/>
      <c r="AR279"/>
      <c r="XFD279"/>
    </row>
    <row r="280" spans="2:44 16384:16384" hidden="1" x14ac:dyDescent="0.25">
      <c r="B280"/>
      <c r="C280"/>
      <c r="D280"/>
      <c r="E280" t="s">
        <v>568</v>
      </c>
      <c r="F280" t="s">
        <v>446</v>
      </c>
      <c r="G280" t="str">
        <f>'Natural Gas Reforming'!$E$120</f>
        <v>SMR</v>
      </c>
      <c r="H280" t="e">
        <f>'Natural Gas Reforming'!$Z$120</f>
        <v>#N/A</v>
      </c>
      <c r="I280" t="s">
        <v>90</v>
      </c>
      <c r="N280"/>
      <c r="O280"/>
      <c r="P280"/>
      <c r="V280"/>
      <c r="W280"/>
      <c r="X280"/>
      <c r="Y280" s="1586"/>
      <c r="Z280" s="1586"/>
      <c r="AA280" s="1586"/>
      <c r="AB280" s="1586"/>
      <c r="AC280" s="1586"/>
      <c r="AD280" s="1586"/>
      <c r="AE280" s="1586"/>
      <c r="AF280" s="1586"/>
      <c r="AG280" s="1586"/>
      <c r="AH280" s="1586"/>
      <c r="AI280" s="1586"/>
      <c r="AJ280" s="1586"/>
      <c r="AK280" s="1586"/>
      <c r="AL280" s="1586"/>
      <c r="AM280" s="1586"/>
      <c r="AN280"/>
      <c r="AO280"/>
      <c r="AP280"/>
      <c r="AQ280"/>
      <c r="AR280"/>
    </row>
    <row r="281" spans="2:44 16384:16384" hidden="1" x14ac:dyDescent="0.25">
      <c r="B281"/>
      <c r="C281"/>
      <c r="D281"/>
      <c r="E281" t="s">
        <v>568</v>
      </c>
      <c r="F281" t="s">
        <v>447</v>
      </c>
      <c r="G281"/>
      <c r="H281"/>
      <c r="I281"/>
      <c r="N281"/>
      <c r="O281"/>
      <c r="P281"/>
      <c r="V281"/>
      <c r="W281"/>
      <c r="X281"/>
      <c r="Y281" s="1586"/>
      <c r="Z281" s="1586"/>
      <c r="AA281" s="1586"/>
      <c r="AB281" s="1586"/>
      <c r="AC281" s="1586"/>
      <c r="AD281" s="1586"/>
      <c r="AE281" s="1586"/>
      <c r="AF281" s="1586"/>
      <c r="AG281" s="1586"/>
      <c r="AH281" s="1586"/>
      <c r="AI281" s="1586"/>
      <c r="AJ281" s="1586"/>
      <c r="AK281" s="1586"/>
      <c r="AL281" s="1586"/>
      <c r="AM281" s="1586"/>
      <c r="AN281"/>
      <c r="AO281"/>
      <c r="AP281"/>
      <c r="AQ281"/>
      <c r="AR281"/>
    </row>
    <row r="282" spans="2:44 16384:16384" hidden="1" x14ac:dyDescent="0.25">
      <c r="B282"/>
      <c r="C282"/>
      <c r="D282"/>
      <c r="E282" t="s">
        <v>568</v>
      </c>
      <c r="F282" t="s">
        <v>448</v>
      </c>
      <c r="G282"/>
      <c r="H282"/>
      <c r="I282"/>
      <c r="N282"/>
      <c r="O282"/>
      <c r="P282"/>
      <c r="V282"/>
      <c r="W282"/>
      <c r="X282"/>
      <c r="Y282" s="1586"/>
      <c r="Z282" s="1586"/>
      <c r="AA282" s="1586"/>
      <c r="AB282" s="1586"/>
      <c r="AC282" s="1586"/>
      <c r="AD282" s="1586"/>
      <c r="AE282" s="1586"/>
      <c r="AF282" s="1586"/>
      <c r="AG282" s="1586"/>
      <c r="AH282" s="1586"/>
      <c r="AI282" s="1586"/>
      <c r="AJ282" s="1586"/>
      <c r="AK282" s="1586"/>
      <c r="AL282" s="1586"/>
      <c r="AM282" s="1586"/>
      <c r="AN282"/>
      <c r="AO282"/>
      <c r="AP282"/>
      <c r="AQ282"/>
      <c r="AR282"/>
    </row>
    <row r="283" spans="2:44 16384:16384" hidden="1" x14ac:dyDescent="0.25">
      <c r="B283"/>
      <c r="C283"/>
      <c r="D283"/>
      <c r="E283" t="s">
        <v>568</v>
      </c>
      <c r="F283" t="s">
        <v>449</v>
      </c>
      <c r="G283"/>
      <c r="H283"/>
      <c r="I283"/>
      <c r="N283"/>
      <c r="O283"/>
      <c r="P283"/>
      <c r="V283"/>
      <c r="W283"/>
      <c r="X283"/>
      <c r="Y283" s="1586"/>
      <c r="Z283" s="1586"/>
      <c r="AA283" s="1586"/>
      <c r="AB283" s="1586"/>
      <c r="AC283" s="1586"/>
      <c r="AD283" s="1586"/>
      <c r="AE283" s="1586"/>
      <c r="AF283" s="1586"/>
      <c r="AG283" s="1586"/>
      <c r="AH283" s="1586"/>
      <c r="AI283" s="1586"/>
      <c r="AJ283" s="1586"/>
      <c r="AK283" s="1586"/>
      <c r="AL283" s="1586"/>
      <c r="AM283" s="1586"/>
      <c r="AN283"/>
      <c r="AO283"/>
      <c r="AP283"/>
      <c r="AQ283"/>
      <c r="AR283"/>
    </row>
    <row r="284" spans="2:44 16384:16384" hidden="1" x14ac:dyDescent="0.25">
      <c r="B284"/>
      <c r="C284"/>
      <c r="D284"/>
      <c r="E284" t="s">
        <v>568</v>
      </c>
      <c r="F284" t="s">
        <v>450</v>
      </c>
      <c r="G284" t="str">
        <f>'Natural Gas Reforming'!$E$120</f>
        <v>SMR</v>
      </c>
      <c r="H284" t="e">
        <f>'Natural Gas Reforming'!$AA$120</f>
        <v>#N/A</v>
      </c>
      <c r="I284" t="s">
        <v>90</v>
      </c>
      <c r="N284"/>
      <c r="O284"/>
      <c r="P284"/>
      <c r="V284"/>
      <c r="W284"/>
      <c r="X284"/>
      <c r="Y284" s="1586"/>
      <c r="Z284" s="1586"/>
      <c r="AA284" s="1586"/>
      <c r="AB284" s="1586"/>
      <c r="AC284" s="1586"/>
      <c r="AD284" s="1586"/>
      <c r="AE284" s="1586"/>
      <c r="AF284" s="1586"/>
      <c r="AG284" s="1586"/>
      <c r="AH284" s="1586"/>
      <c r="AI284" s="1586"/>
      <c r="AJ284" s="1586"/>
      <c r="AK284" s="1586"/>
      <c r="AL284" s="1586"/>
      <c r="AM284" s="1586"/>
      <c r="AN284"/>
      <c r="AO284"/>
      <c r="AP284"/>
      <c r="AQ284"/>
      <c r="AR284"/>
    </row>
    <row r="285" spans="2:44 16384:16384" s="1164" customFormat="1" hidden="1" x14ac:dyDescent="0.25">
      <c r="B285"/>
      <c r="C285"/>
      <c r="D285"/>
      <c r="E285" t="s">
        <v>568</v>
      </c>
      <c r="F285" t="s">
        <v>63</v>
      </c>
      <c r="G285"/>
      <c r="H285">
        <f>iq_ccsMonitoringTech</f>
        <v>0</v>
      </c>
      <c r="I285"/>
      <c r="N285"/>
      <c r="O285"/>
      <c r="P285"/>
      <c r="V285"/>
      <c r="W285"/>
      <c r="X285"/>
      <c r="Y285" s="1586"/>
      <c r="Z285" s="1586"/>
      <c r="AA285" s="1586"/>
      <c r="AB285" s="1586"/>
      <c r="AC285" s="1586"/>
      <c r="AD285" s="1586"/>
      <c r="AE285" s="1586"/>
      <c r="AF285" s="1586"/>
      <c r="AG285" s="1586"/>
      <c r="AH285" s="1586"/>
      <c r="AI285" s="1586"/>
      <c r="AJ285" s="1586"/>
      <c r="AK285" s="1586"/>
      <c r="AL285" s="1586"/>
      <c r="AM285" s="1586"/>
      <c r="AN285"/>
      <c r="AO285"/>
      <c r="AP285"/>
      <c r="AQ285"/>
      <c r="AR285"/>
      <c r="XFD285"/>
    </row>
    <row r="286" spans="2:44 16384:16384" hidden="1" x14ac:dyDescent="0.25">
      <c r="B286"/>
      <c r="C286"/>
      <c r="D286"/>
      <c r="E286" t="s">
        <v>568</v>
      </c>
      <c r="F286" t="s">
        <v>451</v>
      </c>
      <c r="G286"/>
      <c r="H286" s="227">
        <f>'Natural Gas Reforming'!$Z$89</f>
        <v>1000</v>
      </c>
      <c r="I286" t="s">
        <v>476</v>
      </c>
      <c r="N286"/>
      <c r="O286"/>
      <c r="P286"/>
      <c r="V286"/>
      <c r="W286"/>
      <c r="X286"/>
      <c r="Y286" s="1586"/>
      <c r="Z286" s="1586"/>
      <c r="AA286" s="1586"/>
      <c r="AB286" s="1586"/>
      <c r="AC286" s="1586"/>
      <c r="AD286" s="1586"/>
      <c r="AE286" s="1586"/>
      <c r="AF286" s="1586"/>
      <c r="AG286" s="1586"/>
      <c r="AH286" s="1586"/>
      <c r="AI286" s="1586"/>
      <c r="AJ286" s="1586"/>
      <c r="AK286" s="1586"/>
      <c r="AL286" s="1586"/>
      <c r="AM286" s="1586"/>
      <c r="AN286"/>
      <c r="AO286"/>
      <c r="AP286"/>
      <c r="AQ286"/>
      <c r="AR286"/>
    </row>
    <row r="287" spans="2:44 16384:16384" hidden="1" x14ac:dyDescent="0.25">
      <c r="B287"/>
      <c r="C287"/>
      <c r="D287"/>
      <c r="E287" t="s">
        <v>568</v>
      </c>
      <c r="F287" t="s">
        <v>452</v>
      </c>
      <c r="G287"/>
      <c r="H287">
        <f>SUMIF(AD96:AD100,'Natural Gas Reforming'!AB89,AC96:AC100)</f>
        <v>0</v>
      </c>
      <c r="I287" t="s">
        <v>476</v>
      </c>
      <c r="N287"/>
      <c r="O287"/>
      <c r="P287"/>
      <c r="V287"/>
      <c r="W287"/>
      <c r="X287"/>
      <c r="Y287" s="1586"/>
      <c r="Z287" s="1586"/>
      <c r="AA287" s="1586"/>
      <c r="AB287" s="1586"/>
      <c r="AC287" s="1586"/>
      <c r="AD287" s="1586"/>
      <c r="AE287" s="1586"/>
      <c r="AF287" s="1586"/>
      <c r="AG287" s="1586"/>
      <c r="AH287" s="1586"/>
      <c r="AI287" s="1586"/>
      <c r="AJ287" s="1586"/>
      <c r="AK287" s="1586"/>
      <c r="AL287" s="1586"/>
      <c r="AM287" s="1586"/>
      <c r="AN287"/>
      <c r="AO287"/>
      <c r="AP287"/>
      <c r="AQ287"/>
      <c r="AR287"/>
    </row>
    <row r="288" spans="2:44 16384:16384" hidden="1" x14ac:dyDescent="0.25">
      <c r="B288"/>
      <c r="C288"/>
      <c r="D288"/>
      <c r="E288" t="s">
        <v>568</v>
      </c>
      <c r="F288" t="s">
        <v>453</v>
      </c>
      <c r="G288"/>
      <c r="H288" t="e">
        <f>'Natural Gas Reforming'!$Y$89*'Natural Gas Reforming'!$AA$89</f>
        <v>#N/A</v>
      </c>
      <c r="I288" t="s">
        <v>571</v>
      </c>
      <c r="N288"/>
      <c r="O288"/>
      <c r="P288"/>
      <c r="V288"/>
      <c r="W288"/>
      <c r="X288"/>
      <c r="Y288" s="1586"/>
      <c r="Z288" s="1586"/>
      <c r="AA288" s="1586"/>
      <c r="AB288" s="1586"/>
      <c r="AC288" s="1586"/>
      <c r="AD288" s="1586"/>
      <c r="AE288" s="1586"/>
      <c r="AF288" s="1586"/>
      <c r="AG288" s="1586"/>
      <c r="AH288" s="1586"/>
      <c r="AI288" s="1586"/>
      <c r="AJ288" s="1586"/>
      <c r="AK288" s="1586"/>
      <c r="AL288" s="1586"/>
      <c r="AM288" s="1586"/>
      <c r="AN288"/>
      <c r="AO288"/>
      <c r="AP288"/>
      <c r="AQ288"/>
      <c r="AR288"/>
    </row>
    <row r="289" spans="2:44" hidden="1" x14ac:dyDescent="0.25">
      <c r="B289"/>
      <c r="C289"/>
      <c r="D289"/>
      <c r="E289" t="s">
        <v>568</v>
      </c>
      <c r="F289" t="s">
        <v>454</v>
      </c>
      <c r="G289"/>
      <c r="H289">
        <f>iq_ccsStorage</f>
        <v>0</v>
      </c>
      <c r="I289"/>
      <c r="N289"/>
      <c r="O289"/>
      <c r="P289"/>
      <c r="V289"/>
      <c r="W289"/>
      <c r="X289"/>
      <c r="Y289" s="1586"/>
      <c r="Z289" s="1586"/>
      <c r="AA289" s="1586"/>
      <c r="AB289" s="1586"/>
      <c r="AC289" s="1586"/>
      <c r="AD289" s="1586"/>
      <c r="AE289" s="1586"/>
      <c r="AF289" s="1586"/>
      <c r="AG289" s="1586"/>
      <c r="AH289" s="1586"/>
      <c r="AI289" s="1586"/>
      <c r="AJ289" s="1586"/>
      <c r="AK289" s="1586"/>
      <c r="AL289" s="1586"/>
      <c r="AM289" s="1586"/>
      <c r="AN289"/>
      <c r="AO289"/>
      <c r="AP289"/>
      <c r="AQ289"/>
      <c r="AR289"/>
    </row>
    <row r="290" spans="2:44" hidden="1" x14ac:dyDescent="0.25">
      <c r="B290"/>
      <c r="C290"/>
      <c r="D290"/>
      <c r="E290" t="s">
        <v>568</v>
      </c>
      <c r="F290" t="s">
        <v>65</v>
      </c>
      <c r="G290"/>
      <c r="H290">
        <f>iq_ccsLocation</f>
        <v>0</v>
      </c>
      <c r="I290"/>
      <c r="N290"/>
      <c r="O290"/>
      <c r="P290"/>
    </row>
    <row r="291" spans="2:44" hidden="1" x14ac:dyDescent="0.25">
      <c r="B291"/>
      <c r="C291"/>
      <c r="D291"/>
      <c r="E291" t="s">
        <v>568</v>
      </c>
      <c r="F291" t="s">
        <v>455</v>
      </c>
      <c r="G291"/>
      <c r="H291">
        <f>iq_ccsTransport</f>
        <v>0</v>
      </c>
      <c r="I291"/>
      <c r="N291"/>
      <c r="O291"/>
      <c r="P291"/>
    </row>
    <row r="292" spans="2:44" hidden="1" x14ac:dyDescent="0.25">
      <c r="B292"/>
      <c r="C292"/>
      <c r="D292"/>
      <c r="E292" t="s">
        <v>568</v>
      </c>
      <c r="F292" t="s">
        <v>456</v>
      </c>
      <c r="G292"/>
      <c r="H292">
        <f>'Natural Gas Reforming'!$Y$137</f>
        <v>0</v>
      </c>
      <c r="I292" t="s">
        <v>90</v>
      </c>
      <c r="N292"/>
      <c r="O292"/>
      <c r="P292"/>
    </row>
    <row r="293" spans="2:44" hidden="1" x14ac:dyDescent="0.25">
      <c r="B293"/>
      <c r="C293"/>
      <c r="D293"/>
      <c r="E293" t="s">
        <v>568</v>
      </c>
      <c r="F293" t="s">
        <v>457</v>
      </c>
      <c r="G293"/>
      <c r="H293" s="227">
        <f>'Natural Gas Reforming'!$Y$139</f>
        <v>0</v>
      </c>
      <c r="I293" t="s">
        <v>90</v>
      </c>
      <c r="N293"/>
      <c r="O293"/>
      <c r="P293"/>
    </row>
    <row r="294" spans="2:44" hidden="1" x14ac:dyDescent="0.25">
      <c r="B294"/>
      <c r="C294"/>
      <c r="D294"/>
      <c r="E294" t="s">
        <v>568</v>
      </c>
      <c r="F294" t="s">
        <v>572</v>
      </c>
      <c r="G294"/>
      <c r="H294">
        <f>'Natural Gas Reforming'!$Y$138</f>
        <v>0</v>
      </c>
      <c r="I294" t="s">
        <v>90</v>
      </c>
      <c r="N294"/>
      <c r="O294"/>
      <c r="P294"/>
    </row>
    <row r="295" spans="2:44" hidden="1" x14ac:dyDescent="0.25">
      <c r="B295"/>
      <c r="C295"/>
      <c r="D295"/>
      <c r="E295" t="s">
        <v>568</v>
      </c>
      <c r="F295" t="s">
        <v>459</v>
      </c>
      <c r="G295"/>
      <c r="H295">
        <f>'Natural Gas Reforming'!$Y$141</f>
        <v>0</v>
      </c>
      <c r="I295" t="s">
        <v>90</v>
      </c>
      <c r="N295"/>
      <c r="O295"/>
      <c r="P295"/>
    </row>
    <row r="296" spans="2:44" hidden="1" x14ac:dyDescent="0.25">
      <c r="B296"/>
      <c r="C296"/>
      <c r="D296"/>
      <c r="E296" t="s">
        <v>568</v>
      </c>
      <c r="F296" t="s">
        <v>460</v>
      </c>
      <c r="G296"/>
      <c r="H296">
        <f>'Natural Gas Reforming'!$Y$142</f>
        <v>0</v>
      </c>
      <c r="I296" t="s">
        <v>90</v>
      </c>
      <c r="N296"/>
      <c r="O296"/>
      <c r="P296"/>
    </row>
    <row r="297" spans="2:44" hidden="1" x14ac:dyDescent="0.25">
      <c r="B297"/>
      <c r="C297"/>
      <c r="D297"/>
      <c r="E297" t="s">
        <v>568</v>
      </c>
      <c r="F297" t="s">
        <v>461</v>
      </c>
      <c r="G297"/>
      <c r="H297" s="227">
        <f>SUMIF('Natural Gas Reforming'!$AA$166:$AA$168,"&lt;&gt;#N/A")+SUMIF(Y62,"&lt;&gt;#N/A")</f>
        <v>0</v>
      </c>
      <c r="I297" t="s">
        <v>90</v>
      </c>
      <c r="N297"/>
      <c r="O297"/>
      <c r="P297"/>
    </row>
    <row r="298" spans="2:44" hidden="1" x14ac:dyDescent="0.25">
      <c r="B298"/>
      <c r="C298"/>
      <c r="D298"/>
      <c r="E298" t="s">
        <v>568</v>
      </c>
      <c r="F298" t="s">
        <v>462</v>
      </c>
      <c r="G298"/>
      <c r="H298">
        <f>IFERROR(SUM('Natural Gas Reforming'!$Z$166:$Z$168),0)</f>
        <v>0</v>
      </c>
      <c r="I298" t="s">
        <v>90</v>
      </c>
      <c r="N298"/>
      <c r="O298"/>
      <c r="P298"/>
    </row>
    <row r="299" spans="2:44" hidden="1" x14ac:dyDescent="0.25">
      <c r="B299"/>
      <c r="C299"/>
      <c r="D299"/>
      <c r="E299" t="s">
        <v>568</v>
      </c>
      <c r="F299" t="s">
        <v>463</v>
      </c>
      <c r="G299"/>
      <c r="H299">
        <f>'Natural Gas Reforming'!$Y$159</f>
        <v>0</v>
      </c>
      <c r="I299" t="s">
        <v>415</v>
      </c>
      <c r="N299"/>
      <c r="O299"/>
      <c r="P299"/>
    </row>
    <row r="300" spans="2:44" hidden="1" x14ac:dyDescent="0.25">
      <c r="B300"/>
      <c r="C300"/>
      <c r="D300"/>
      <c r="E300" t="s">
        <v>568</v>
      </c>
      <c r="F300" t="s">
        <v>464</v>
      </c>
      <c r="G300"/>
      <c r="H300">
        <f>'Natural Gas Reforming'!Y138</f>
        <v>0</v>
      </c>
      <c r="I300" t="s">
        <v>90</v>
      </c>
      <c r="N300"/>
      <c r="O300"/>
      <c r="P300"/>
    </row>
    <row r="301" spans="2:44" hidden="1" x14ac:dyDescent="0.25">
      <c r="B301"/>
      <c r="C301"/>
      <c r="D301"/>
      <c r="E301" t="s">
        <v>568</v>
      </c>
      <c r="F301" t="s">
        <v>465</v>
      </c>
      <c r="G301"/>
      <c r="H301" t="s">
        <v>369</v>
      </c>
      <c r="I301" t="s">
        <v>90</v>
      </c>
      <c r="N301"/>
      <c r="O301"/>
      <c r="P301"/>
    </row>
    <row r="302" spans="2:44" hidden="1" x14ac:dyDescent="0.25">
      <c r="B302"/>
      <c r="C302"/>
      <c r="D302"/>
      <c r="E302" t="s">
        <v>568</v>
      </c>
      <c r="F302" t="s">
        <v>466</v>
      </c>
      <c r="G302"/>
      <c r="H302" t="s">
        <v>369</v>
      </c>
      <c r="I302" t="s">
        <v>90</v>
      </c>
      <c r="N302"/>
      <c r="O302"/>
      <c r="P302"/>
    </row>
    <row r="303" spans="2:44" hidden="1" x14ac:dyDescent="0.25">
      <c r="B303"/>
      <c r="C303"/>
      <c r="D303"/>
      <c r="E303" t="s">
        <v>568</v>
      </c>
      <c r="F303" t="s">
        <v>467</v>
      </c>
      <c r="G303"/>
      <c r="H303" t="s">
        <v>369</v>
      </c>
      <c r="I303" t="s">
        <v>90</v>
      </c>
      <c r="N303"/>
      <c r="O303"/>
      <c r="P303"/>
    </row>
    <row r="304" spans="2:44" hidden="1" x14ac:dyDescent="0.25">
      <c r="B304"/>
      <c r="C304"/>
      <c r="D304"/>
      <c r="E304" t="s">
        <v>568</v>
      </c>
      <c r="F304" t="s">
        <v>468</v>
      </c>
      <c r="G304"/>
      <c r="H304" t="s">
        <v>369</v>
      </c>
      <c r="I304" t="s">
        <v>90</v>
      </c>
      <c r="N304"/>
      <c r="O304"/>
      <c r="P304"/>
    </row>
    <row r="305" spans="2:16" hidden="1" x14ac:dyDescent="0.25">
      <c r="B305"/>
      <c r="C305"/>
      <c r="D305"/>
      <c r="E305" t="s">
        <v>568</v>
      </c>
      <c r="F305" t="s">
        <v>469</v>
      </c>
      <c r="G305"/>
      <c r="H305" t="s">
        <v>369</v>
      </c>
      <c r="I305" t="s">
        <v>90</v>
      </c>
      <c r="N305"/>
      <c r="O305"/>
      <c r="P305"/>
    </row>
    <row r="306" spans="2:16" hidden="1" x14ac:dyDescent="0.25">
      <c r="B306"/>
      <c r="C306"/>
      <c r="D306"/>
      <c r="E306" t="s">
        <v>568</v>
      </c>
      <c r="F306" t="s">
        <v>470</v>
      </c>
      <c r="G306"/>
      <c r="H306" t="s">
        <v>369</v>
      </c>
      <c r="I306" t="s">
        <v>90</v>
      </c>
      <c r="N306"/>
      <c r="O306"/>
      <c r="P306"/>
    </row>
    <row r="307" spans="2:16" hidden="1" x14ac:dyDescent="0.25">
      <c r="B307"/>
      <c r="C307"/>
      <c r="D307"/>
      <c r="E307" t="s">
        <v>568</v>
      </c>
      <c r="F307" t="s">
        <v>471</v>
      </c>
      <c r="G307"/>
      <c r="H307" t="s">
        <v>369</v>
      </c>
      <c r="I307" t="s">
        <v>90</v>
      </c>
      <c r="N307"/>
      <c r="O307"/>
      <c r="P307"/>
    </row>
    <row r="308" spans="2:16" hidden="1" x14ac:dyDescent="0.25">
      <c r="B308"/>
      <c r="C308"/>
      <c r="D308"/>
      <c r="E308" t="s">
        <v>568</v>
      </c>
      <c r="F308" t="s">
        <v>472</v>
      </c>
      <c r="G308"/>
      <c r="H308" t="s">
        <v>369</v>
      </c>
      <c r="I308" t="s">
        <v>90</v>
      </c>
      <c r="J308"/>
      <c r="K308"/>
      <c r="L308"/>
      <c r="M308"/>
      <c r="N308"/>
      <c r="O308"/>
      <c r="P308"/>
    </row>
    <row r="309" spans="2:16" hidden="1" x14ac:dyDescent="0.25">
      <c r="B309"/>
      <c r="C309"/>
      <c r="D309"/>
      <c r="E309" t="s">
        <v>568</v>
      </c>
      <c r="F309" t="s">
        <v>473</v>
      </c>
      <c r="G309"/>
      <c r="H309" t="s">
        <v>369</v>
      </c>
      <c r="I309" t="s">
        <v>90</v>
      </c>
      <c r="J309"/>
      <c r="K309"/>
      <c r="L309"/>
      <c r="M309"/>
      <c r="N309"/>
      <c r="O309"/>
      <c r="P309"/>
    </row>
    <row r="310" spans="2:16" hidden="1" x14ac:dyDescent="0.25">
      <c r="B310"/>
      <c r="C310"/>
      <c r="D310"/>
      <c r="E310" t="s">
        <v>568</v>
      </c>
      <c r="F310" t="s">
        <v>474</v>
      </c>
      <c r="G310"/>
      <c r="H310" t="s">
        <v>369</v>
      </c>
      <c r="I310" t="s">
        <v>90</v>
      </c>
      <c r="J310"/>
      <c r="K310"/>
      <c r="L310"/>
      <c r="M310"/>
      <c r="N310"/>
      <c r="O310"/>
      <c r="P310"/>
    </row>
    <row r="311" spans="2:16" hidden="1" x14ac:dyDescent="0.25">
      <c r="B311"/>
      <c r="C311"/>
      <c r="D311"/>
      <c r="E311" t="s">
        <v>568</v>
      </c>
      <c r="F311" t="str">
        <f>_xlfn.CONCAT("Quantity of ",'Coal Gasification'!$C$197, " Produced")</f>
        <v>Quantity of Product 3 Produced</v>
      </c>
      <c r="G311"/>
      <c r="H311" t="s">
        <v>369</v>
      </c>
      <c r="I311"/>
      <c r="J311"/>
      <c r="K311"/>
      <c r="L311"/>
      <c r="M311"/>
      <c r="N311"/>
      <c r="O311"/>
      <c r="P311"/>
    </row>
    <row r="312" spans="2:16" hidden="1" x14ac:dyDescent="0.25">
      <c r="B312"/>
      <c r="C312"/>
      <c r="D312"/>
      <c r="E312" t="s">
        <v>568</v>
      </c>
      <c r="F312" t="str">
        <f>_xlfn.CONCAT("Quantity of ",'Coal Gasification'!$C$198, " Produced")</f>
        <v>Quantity of Product 4 Produced</v>
      </c>
      <c r="G312"/>
      <c r="H312" t="s">
        <v>369</v>
      </c>
      <c r="I312"/>
      <c r="J312"/>
      <c r="K312"/>
      <c r="L312"/>
      <c r="M312"/>
      <c r="N312"/>
      <c r="O312"/>
      <c r="P312"/>
    </row>
    <row r="313" spans="2:16" hidden="1" x14ac:dyDescent="0.25">
      <c r="B313"/>
      <c r="C313"/>
      <c r="D313"/>
      <c r="E313" t="s">
        <v>568</v>
      </c>
      <c r="F313" t="str">
        <f>_xlfn.CONCAT("Quantity of ",'Coal Gasification'!$C$205, " Produced")</f>
        <v>Quantity of Product 5 Produced</v>
      </c>
      <c r="G313"/>
      <c r="H313" t="s">
        <v>369</v>
      </c>
      <c r="I313"/>
      <c r="J313"/>
      <c r="K313"/>
      <c r="L313"/>
      <c r="M313"/>
      <c r="N313"/>
      <c r="O313"/>
      <c r="P313"/>
    </row>
    <row r="314" spans="2:16" hidden="1" x14ac:dyDescent="0.25">
      <c r="B314"/>
      <c r="C314"/>
      <c r="D314"/>
      <c r="E314" t="s">
        <v>568</v>
      </c>
      <c r="F314" t="str">
        <f>_xlfn.CONCAT("Quantity of ",'Coal Gasification'!$C$206, " Produced")</f>
        <v>Quantity of Product 6 Produced</v>
      </c>
      <c r="G314"/>
      <c r="H314" t="s">
        <v>369</v>
      </c>
      <c r="I314"/>
      <c r="J314"/>
      <c r="K314"/>
      <c r="L314"/>
      <c r="M314"/>
      <c r="N314"/>
      <c r="O314"/>
      <c r="P314"/>
    </row>
    <row r="315" spans="2:16" hidden="1" x14ac:dyDescent="0.25">
      <c r="B315"/>
      <c r="C315"/>
      <c r="D315"/>
      <c r="E315" t="s">
        <v>568</v>
      </c>
      <c r="F315" t="str">
        <f>_xlfn.CONCAT("Quantity of ",'Coal Gasification'!$C$207, " Produced")</f>
        <v>Quantity of Product 7 Produced</v>
      </c>
      <c r="G315"/>
      <c r="H315" t="s">
        <v>369</v>
      </c>
      <c r="I315"/>
      <c r="J315"/>
      <c r="K315"/>
      <c r="L315"/>
      <c r="M315"/>
      <c r="N315"/>
      <c r="O315"/>
      <c r="P315"/>
    </row>
    <row r="316" spans="2:16" hidden="1" x14ac:dyDescent="0.25">
      <c r="B316"/>
      <c r="C316"/>
      <c r="D316"/>
      <c r="E316" t="s">
        <v>568</v>
      </c>
      <c r="F316" t="str">
        <f>_xlfn.CONCAT("Quantity of ",'Coal Gasification'!$C$197, " Sold")</f>
        <v>Quantity of Product 3 Sold</v>
      </c>
      <c r="G316"/>
      <c r="H316" t="s">
        <v>369</v>
      </c>
      <c r="I316"/>
      <c r="J316"/>
      <c r="K316"/>
      <c r="L316"/>
      <c r="M316"/>
      <c r="N316"/>
      <c r="O316"/>
      <c r="P316"/>
    </row>
    <row r="317" spans="2:16" hidden="1" x14ac:dyDescent="0.25">
      <c r="B317"/>
      <c r="C317"/>
      <c r="D317"/>
      <c r="E317" t="s">
        <v>568</v>
      </c>
      <c r="F317" t="str">
        <f>_xlfn.CONCAT("Quantity of ",'Coal Gasification'!$C$198, " Sold")</f>
        <v>Quantity of Product 4 Sold</v>
      </c>
      <c r="G317"/>
      <c r="H317" t="s">
        <v>369</v>
      </c>
      <c r="I317"/>
      <c r="J317"/>
      <c r="K317"/>
      <c r="L317"/>
      <c r="M317"/>
      <c r="N317"/>
      <c r="O317"/>
      <c r="P317"/>
    </row>
    <row r="318" spans="2:16" hidden="1" x14ac:dyDescent="0.25">
      <c r="B318"/>
      <c r="C318"/>
      <c r="D318"/>
      <c r="E318" t="s">
        <v>568</v>
      </c>
      <c r="F318" t="str">
        <f>_xlfn.CONCAT("Quantity of ",'Coal Gasification'!$C$205, " Sold")</f>
        <v>Quantity of Product 5 Sold</v>
      </c>
      <c r="G318"/>
      <c r="H318" t="s">
        <v>369</v>
      </c>
      <c r="I318"/>
      <c r="J318"/>
      <c r="K318"/>
      <c r="L318"/>
      <c r="M318"/>
      <c r="N318"/>
      <c r="O318"/>
      <c r="P318"/>
    </row>
    <row r="319" spans="2:16" hidden="1" x14ac:dyDescent="0.25">
      <c r="B319"/>
      <c r="C319"/>
      <c r="D319"/>
      <c r="E319" t="s">
        <v>568</v>
      </c>
      <c r="F319" t="str">
        <f>_xlfn.CONCAT("Quantity of ",'Coal Gasification'!$C$206, " Sold")</f>
        <v>Quantity of Product 6 Sold</v>
      </c>
      <c r="G319"/>
      <c r="H319" t="s">
        <v>369</v>
      </c>
      <c r="I319"/>
      <c r="J319"/>
      <c r="K319"/>
      <c r="L319"/>
      <c r="M319"/>
      <c r="N319"/>
      <c r="O319"/>
      <c r="P319"/>
    </row>
    <row r="320" spans="2:16" hidden="1" x14ac:dyDescent="0.25">
      <c r="B320"/>
      <c r="C320"/>
      <c r="D320"/>
      <c r="E320" t="s">
        <v>568</v>
      </c>
      <c r="F320" t="str">
        <f>_xlfn.CONCAT("Quantity of ",'Coal Gasification'!$C$207, " Sold")</f>
        <v>Quantity of Product 7 Sold</v>
      </c>
      <c r="G320"/>
      <c r="H320" t="s">
        <v>369</v>
      </c>
      <c r="I320"/>
      <c r="J320"/>
      <c r="K320"/>
      <c r="L320"/>
      <c r="M320"/>
      <c r="N320"/>
      <c r="O320"/>
      <c r="P320"/>
    </row>
    <row r="321" spans="2:16" hidden="1" x14ac:dyDescent="0.25">
      <c r="B321"/>
      <c r="C321"/>
      <c r="D321"/>
      <c r="E321" t="s">
        <v>568</v>
      </c>
      <c r="F321" t="s">
        <v>573</v>
      </c>
      <c r="G321"/>
      <c r="H321">
        <f>'Transport &amp; Storage - Hydrogen'!H121+'Transport &amp; Storage - Hydrogen'!H122</f>
        <v>0</v>
      </c>
      <c r="I321" t="s">
        <v>90</v>
      </c>
      <c r="J321"/>
      <c r="K321"/>
      <c r="L321"/>
      <c r="M321"/>
      <c r="N321"/>
      <c r="O321"/>
      <c r="P321"/>
    </row>
    <row r="322" spans="2:16" hidden="1" x14ac:dyDescent="0.25">
      <c r="B322"/>
      <c r="C322"/>
      <c r="D322"/>
      <c r="E322" t="s">
        <v>568</v>
      </c>
      <c r="F322" t="s">
        <v>574</v>
      </c>
      <c r="G322"/>
      <c r="H322">
        <f>'Transport &amp; Storage - Hydrogen'!H123</f>
        <v>0</v>
      </c>
      <c r="I322" t="s">
        <v>90</v>
      </c>
      <c r="J322"/>
      <c r="K322"/>
      <c r="L322"/>
      <c r="M322"/>
      <c r="N322"/>
      <c r="O322"/>
      <c r="P322"/>
    </row>
    <row r="323" spans="2:16" hidden="1" x14ac:dyDescent="0.25">
      <c r="B323"/>
      <c r="C323"/>
      <c r="D323"/>
      <c r="E323"/>
      <c r="F323"/>
      <c r="G323"/>
      <c r="H323"/>
      <c r="J323"/>
      <c r="K323"/>
      <c r="L323"/>
      <c r="M323"/>
      <c r="N323"/>
      <c r="O323"/>
      <c r="P323"/>
    </row>
    <row r="324" spans="2:16" hidden="1" x14ac:dyDescent="0.25">
      <c r="B324"/>
      <c r="C324"/>
      <c r="D324"/>
      <c r="E324"/>
      <c r="F324"/>
      <c r="G324"/>
      <c r="H324"/>
      <c r="J324"/>
      <c r="K324"/>
      <c r="L324"/>
      <c r="M324"/>
      <c r="N324"/>
      <c r="O324"/>
      <c r="P324"/>
    </row>
    <row r="325" spans="2:16" hidden="1" x14ac:dyDescent="0.25">
      <c r="B325"/>
      <c r="C325"/>
      <c r="D325"/>
      <c r="E325" s="1121" t="s">
        <v>479</v>
      </c>
      <c r="F325" s="1121" t="s">
        <v>575</v>
      </c>
      <c r="G325" s="1121" t="s">
        <v>481</v>
      </c>
      <c r="H325" s="1121" t="s">
        <v>482</v>
      </c>
      <c r="I325" s="1121" t="s">
        <v>483</v>
      </c>
      <c r="J325"/>
      <c r="K325"/>
      <c r="L325"/>
      <c r="M325"/>
      <c r="N325"/>
      <c r="O325"/>
      <c r="P325"/>
    </row>
    <row r="326" spans="2:16" hidden="1" x14ac:dyDescent="0.25">
      <c r="B326"/>
      <c r="C326"/>
      <c r="D326"/>
      <c r="E326" t="str">
        <f>'Hidden Lists and Summaries'!$B$5</f>
        <v>Embodied (Upstream)</v>
      </c>
      <c r="F326" t="s">
        <v>214</v>
      </c>
      <c r="G326" t="e">
        <f>H326/reforming_hydrogenProductionQuantity</f>
        <v>#N/A</v>
      </c>
      <c r="H326">
        <f>SUMIFS(AH$38:AH$152,AL$38:AL$152,F326)+SUMIFS(AI$38:AI$152,AM$38:AM$152,F326)</f>
        <v>0</v>
      </c>
      <c r="I326" t="s">
        <v>484</v>
      </c>
      <c r="J326"/>
      <c r="K326"/>
      <c r="L326"/>
      <c r="M326"/>
      <c r="N326"/>
      <c r="O326"/>
      <c r="P326"/>
    </row>
    <row r="327" spans="2:16" hidden="1" x14ac:dyDescent="0.25">
      <c r="B327"/>
      <c r="C327"/>
      <c r="D327"/>
      <c r="E327" t="str">
        <f>'Hidden Lists and Summaries'!$B$5</f>
        <v>Embodied (Upstream)</v>
      </c>
      <c r="F327" t="s">
        <v>243</v>
      </c>
      <c r="G327" t="e">
        <f t="shared" ref="G327:G337" si="9">H327/reforming_hydrogenProductionQuantity</f>
        <v>#N/A</v>
      </c>
      <c r="H327">
        <f>SUMIFS(AH$38:AH$152,AL$38:AL$152,F327)+SUMIFS(AI$38:AI$152,AM$38:AM$152,F327)</f>
        <v>0</v>
      </c>
      <c r="I327" t="s">
        <v>484</v>
      </c>
      <c r="J327"/>
      <c r="K327"/>
      <c r="L327"/>
      <c r="M327"/>
      <c r="N327"/>
      <c r="O327"/>
      <c r="P327"/>
    </row>
    <row r="328" spans="2:16" hidden="1" x14ac:dyDescent="0.25">
      <c r="B328"/>
      <c r="C328"/>
      <c r="D328"/>
      <c r="E328" t="str">
        <f>'Hidden Lists and Summaries'!$B$5</f>
        <v>Embodied (Upstream)</v>
      </c>
      <c r="F328" t="s">
        <v>286</v>
      </c>
      <c r="G328" t="e">
        <f t="shared" si="9"/>
        <v>#N/A</v>
      </c>
      <c r="H328">
        <f>SUMIFS(AH$38:AH$152,AL$38:AL$152,F328)+SUMIFS(AI$38:AI$152,AM$38:AM$152,F328)</f>
        <v>0</v>
      </c>
      <c r="I328" t="s">
        <v>484</v>
      </c>
      <c r="J328"/>
      <c r="K328"/>
      <c r="L328"/>
      <c r="M328"/>
      <c r="N328"/>
      <c r="O328"/>
      <c r="P328"/>
    </row>
    <row r="329" spans="2:16" hidden="1" x14ac:dyDescent="0.25">
      <c r="B329"/>
      <c r="C329"/>
      <c r="D329"/>
      <c r="E329" t="str">
        <f>'Hidden Lists and Summaries'!$B$5</f>
        <v>Embodied (Upstream)</v>
      </c>
      <c r="F329" t="s">
        <v>486</v>
      </c>
      <c r="G329" t="e">
        <f t="shared" si="9"/>
        <v>#N/A</v>
      </c>
      <c r="H329">
        <f>SUMIFS(AH$38:AH$152,AL$38:AL$152,F329)+SUMIFS(AI$38:AI$152,AM$38:AM$152,F329)</f>
        <v>0</v>
      </c>
      <c r="I329"/>
      <c r="J329"/>
      <c r="K329"/>
      <c r="L329"/>
      <c r="M329"/>
      <c r="N329"/>
      <c r="O329"/>
      <c r="P329"/>
    </row>
    <row r="330" spans="2:16" hidden="1" x14ac:dyDescent="0.25">
      <c r="B330"/>
      <c r="C330"/>
      <c r="D330"/>
      <c r="E330" t="str">
        <f>'Hidden Lists and Summaries'!$B$5</f>
        <v>Embodied (Upstream)</v>
      </c>
      <c r="F330" t="s">
        <v>514</v>
      </c>
      <c r="G330" t="e">
        <f t="shared" si="9"/>
        <v>#N/A</v>
      </c>
      <c r="H330">
        <f>SUMIFS(AH$38:AH$152,AL$38:AL$152,F330)+SUMIFS(AI$38:AI$152,AM$38:AM$152,F330)</f>
        <v>0</v>
      </c>
      <c r="I330" t="s">
        <v>484</v>
      </c>
      <c r="J330"/>
      <c r="K330"/>
      <c r="L330"/>
      <c r="M330"/>
      <c r="N330"/>
      <c r="O330"/>
      <c r="P330"/>
    </row>
    <row r="331" spans="2:16" hidden="1" x14ac:dyDescent="0.25">
      <c r="B331"/>
      <c r="C331"/>
      <c r="D331"/>
      <c r="E331" t="str">
        <f>'Hidden Lists and Summaries'!$B6</f>
        <v>Steam Supply</v>
      </c>
      <c r="F331"/>
      <c r="G331" t="e">
        <f t="shared" si="9"/>
        <v>#N/A</v>
      </c>
      <c r="H331">
        <f t="shared" ref="H331:H336" si="10">SUMIFS(AH$38:AH$152,AJ$38:AJ$152,E331)+SUMIFS(AI$38:AI$152,AK$38:AK$152,E331)</f>
        <v>0</v>
      </c>
      <c r="I331" t="s">
        <v>487</v>
      </c>
      <c r="J331"/>
      <c r="K331"/>
      <c r="L331"/>
      <c r="M331"/>
      <c r="N331"/>
      <c r="O331"/>
      <c r="P331"/>
    </row>
    <row r="332" spans="2:16" hidden="1" x14ac:dyDescent="0.25">
      <c r="B332"/>
      <c r="C332"/>
      <c r="D332"/>
      <c r="E332" t="str">
        <f>'Hidden Lists and Summaries'!$B7</f>
        <v>Electricity Supply</v>
      </c>
      <c r="F332"/>
      <c r="G332" t="e">
        <f t="shared" si="9"/>
        <v>#N/A</v>
      </c>
      <c r="H332">
        <f t="shared" si="10"/>
        <v>0</v>
      </c>
      <c r="I332" t="s">
        <v>487</v>
      </c>
      <c r="J332"/>
      <c r="K332"/>
      <c r="L332"/>
      <c r="M332"/>
      <c r="N332"/>
      <c r="O332"/>
      <c r="P332"/>
    </row>
    <row r="333" spans="2:16" hidden="1" x14ac:dyDescent="0.25">
      <c r="B333"/>
      <c r="C333"/>
      <c r="D333"/>
      <c r="E333" t="str">
        <f>'Hidden Lists and Summaries'!$B8</f>
        <v>Fuel Combustion</v>
      </c>
      <c r="F333"/>
      <c r="G333" t="e">
        <f t="shared" si="9"/>
        <v>#N/A</v>
      </c>
      <c r="H333">
        <f t="shared" si="10"/>
        <v>0</v>
      </c>
      <c r="I333" t="s">
        <v>487</v>
      </c>
      <c r="J333"/>
      <c r="K333"/>
      <c r="L333"/>
      <c r="M333"/>
      <c r="N333"/>
      <c r="O333"/>
      <c r="P333"/>
    </row>
    <row r="334" spans="2:16" hidden="1" x14ac:dyDescent="0.25">
      <c r="B334"/>
      <c r="C334"/>
      <c r="D334"/>
      <c r="E334" t="str">
        <f>'Hidden Lists and Summaries'!$B9</f>
        <v>Industrial Process</v>
      </c>
      <c r="F334"/>
      <c r="G334" t="e">
        <f t="shared" si="9"/>
        <v>#N/A</v>
      </c>
      <c r="H334">
        <f t="shared" si="10"/>
        <v>0</v>
      </c>
      <c r="I334" t="s">
        <v>487</v>
      </c>
      <c r="J334"/>
      <c r="K334"/>
      <c r="L334"/>
      <c r="M334"/>
      <c r="N334"/>
      <c r="O334"/>
      <c r="P334"/>
    </row>
    <row r="335" spans="2:16" hidden="1" x14ac:dyDescent="0.25">
      <c r="B335"/>
      <c r="C335"/>
      <c r="D335"/>
      <c r="E335" t="str">
        <f>'Hidden Lists and Summaries'!$B10</f>
        <v>Accrued</v>
      </c>
      <c r="F335"/>
      <c r="G335" t="e">
        <f>H335/reforming_hydrogenProductionQuantity</f>
        <v>#N/A</v>
      </c>
      <c r="H335">
        <f t="shared" si="10"/>
        <v>0</v>
      </c>
      <c r="I335" t="s">
        <v>487</v>
      </c>
      <c r="J335"/>
      <c r="K335"/>
      <c r="L335"/>
      <c r="M335"/>
      <c r="N335"/>
      <c r="O335"/>
      <c r="P335"/>
    </row>
    <row r="336" spans="2:16" hidden="1" x14ac:dyDescent="0.25">
      <c r="B336"/>
      <c r="C336"/>
      <c r="D336"/>
      <c r="E336" t="str">
        <f>'Hidden Lists and Summaries'!$B11</f>
        <v>Fugitive</v>
      </c>
      <c r="F336"/>
      <c r="G336" t="e">
        <f>H336/reforming_hydrogenProductionQuantity</f>
        <v>#N/A</v>
      </c>
      <c r="H336" t="e">
        <f t="shared" si="10"/>
        <v>#N/A</v>
      </c>
      <c r="I336" t="s">
        <v>487</v>
      </c>
      <c r="J336"/>
      <c r="K336"/>
      <c r="L336"/>
      <c r="M336"/>
      <c r="N336"/>
      <c r="O336"/>
      <c r="P336"/>
    </row>
    <row r="337" spans="2:16" hidden="1" x14ac:dyDescent="0.25">
      <c r="B337"/>
      <c r="C337"/>
      <c r="D337"/>
      <c r="E337" t="s">
        <v>488</v>
      </c>
      <c r="F337"/>
      <c r="G337" t="e">
        <f t="shared" si="9"/>
        <v>#N/A</v>
      </c>
      <c r="H337">
        <f>SUM(O140:O142)</f>
        <v>0</v>
      </c>
      <c r="I337" t="s">
        <v>487</v>
      </c>
      <c r="J337"/>
      <c r="K337"/>
      <c r="L337"/>
      <c r="M337"/>
      <c r="N337"/>
      <c r="O337"/>
      <c r="P337"/>
    </row>
    <row r="338" spans="2:16" hidden="1" x14ac:dyDescent="0.25">
      <c r="B338"/>
      <c r="C338"/>
      <c r="D338"/>
      <c r="E338" t="s">
        <v>374</v>
      </c>
      <c r="G338" t="e">
        <f t="shared" ref="G338:G347" si="11">H338/reforming_hydrogenProductionQuantity</f>
        <v>#N/A</v>
      </c>
      <c r="H338">
        <f>O160</f>
        <v>0</v>
      </c>
      <c r="I338" t="s">
        <v>489</v>
      </c>
      <c r="J338"/>
      <c r="K338"/>
      <c r="L338"/>
      <c r="M338"/>
      <c r="N338"/>
      <c r="O338"/>
      <c r="P338"/>
    </row>
    <row r="339" spans="2:16" hidden="1" x14ac:dyDescent="0.25">
      <c r="B339"/>
      <c r="C339"/>
      <c r="D339"/>
      <c r="E339" t="s">
        <v>375</v>
      </c>
      <c r="G339" t="e">
        <f t="shared" si="11"/>
        <v>#N/A</v>
      </c>
      <c r="H339">
        <f>O169</f>
        <v>0</v>
      </c>
      <c r="I339" t="s">
        <v>489</v>
      </c>
      <c r="J339"/>
      <c r="K339"/>
      <c r="L339"/>
      <c r="M339"/>
      <c r="N339"/>
      <c r="O339"/>
      <c r="P339"/>
    </row>
    <row r="340" spans="2:16" hidden="1" x14ac:dyDescent="0.25">
      <c r="B340"/>
      <c r="C340"/>
      <c r="D340"/>
      <c r="E340" t="s">
        <v>382</v>
      </c>
      <c r="G340" t="e">
        <f t="shared" si="11"/>
        <v>#N/A</v>
      </c>
      <c r="H340">
        <f>Y139</f>
        <v>0</v>
      </c>
      <c r="I340" t="s">
        <v>489</v>
      </c>
      <c r="J340"/>
      <c r="K340"/>
      <c r="L340"/>
      <c r="M340"/>
      <c r="N340"/>
      <c r="O340"/>
      <c r="P340"/>
    </row>
    <row r="341" spans="2:16" hidden="1" x14ac:dyDescent="0.25">
      <c r="B341"/>
      <c r="C341"/>
      <c r="D341"/>
      <c r="E341" t="s">
        <v>490</v>
      </c>
      <c r="G341" t="e">
        <f t="shared" si="11"/>
        <v>#N/A</v>
      </c>
      <c r="H341" s="227">
        <f>Y138</f>
        <v>0</v>
      </c>
      <c r="I341"/>
      <c r="J341"/>
      <c r="K341"/>
      <c r="L341"/>
      <c r="M341"/>
      <c r="N341"/>
      <c r="O341"/>
      <c r="P341"/>
    </row>
    <row r="342" spans="2:16" hidden="1" x14ac:dyDescent="0.25">
      <c r="B342"/>
      <c r="C342"/>
      <c r="D342"/>
      <c r="E342" t="s">
        <v>384</v>
      </c>
      <c r="G342" t="e">
        <f t="shared" si="11"/>
        <v>#N/A</v>
      </c>
      <c r="H342">
        <f>O186</f>
        <v>0</v>
      </c>
      <c r="I342"/>
      <c r="J342"/>
      <c r="K342"/>
      <c r="L342"/>
      <c r="M342"/>
      <c r="N342"/>
      <c r="O342"/>
      <c r="P342"/>
    </row>
    <row r="343" spans="2:16" hidden="1" x14ac:dyDescent="0.25">
      <c r="B343"/>
      <c r="C343"/>
      <c r="D343"/>
      <c r="E343" t="s">
        <v>377</v>
      </c>
      <c r="F343"/>
      <c r="G343" t="e">
        <f t="shared" si="11"/>
        <v>#N/A</v>
      </c>
      <c r="H343">
        <v>0</v>
      </c>
      <c r="I343"/>
      <c r="J343"/>
      <c r="K343"/>
      <c r="L343"/>
      <c r="M343"/>
      <c r="N343"/>
      <c r="O343"/>
      <c r="P343"/>
    </row>
    <row r="344" spans="2:16" hidden="1" x14ac:dyDescent="0.25">
      <c r="B344"/>
      <c r="C344"/>
      <c r="D344"/>
      <c r="E344" t="s">
        <v>378</v>
      </c>
      <c r="F344"/>
      <c r="G344" t="e">
        <f t="shared" si="11"/>
        <v>#N/A</v>
      </c>
      <c r="H344">
        <v>0</v>
      </c>
      <c r="I344"/>
      <c r="J344"/>
      <c r="K344"/>
      <c r="L344"/>
      <c r="M344"/>
      <c r="N344"/>
      <c r="O344"/>
      <c r="P344"/>
    </row>
    <row r="345" spans="2:16" hidden="1" x14ac:dyDescent="0.25">
      <c r="B345"/>
      <c r="C345"/>
      <c r="D345"/>
      <c r="E345" t="s">
        <v>379</v>
      </c>
      <c r="F345"/>
      <c r="G345" t="e">
        <f t="shared" si="11"/>
        <v>#N/A</v>
      </c>
      <c r="H345">
        <v>0</v>
      </c>
      <c r="I345"/>
      <c r="J345"/>
      <c r="K345"/>
      <c r="L345"/>
      <c r="M345"/>
      <c r="N345"/>
      <c r="O345"/>
      <c r="P345"/>
    </row>
    <row r="346" spans="2:16" hidden="1" x14ac:dyDescent="0.25">
      <c r="B346"/>
      <c r="C346"/>
      <c r="D346"/>
      <c r="E346" t="s">
        <v>380</v>
      </c>
      <c r="F346"/>
      <c r="G346" t="e">
        <f t="shared" si="11"/>
        <v>#N/A</v>
      </c>
      <c r="H346">
        <v>0</v>
      </c>
      <c r="I346"/>
      <c r="J346"/>
      <c r="K346"/>
      <c r="L346"/>
      <c r="M346"/>
      <c r="N346"/>
      <c r="O346"/>
      <c r="P346"/>
    </row>
    <row r="347" spans="2:16" hidden="1" x14ac:dyDescent="0.25">
      <c r="B347"/>
      <c r="C347"/>
      <c r="D347"/>
      <c r="E347" t="s">
        <v>381</v>
      </c>
      <c r="F347"/>
      <c r="G347" t="e">
        <f t="shared" si="11"/>
        <v>#N/A</v>
      </c>
      <c r="H347">
        <v>0</v>
      </c>
      <c r="I347"/>
      <c r="J347"/>
      <c r="K347"/>
      <c r="L347"/>
      <c r="M347"/>
      <c r="N347"/>
      <c r="O347"/>
      <c r="P347"/>
    </row>
    <row r="348" spans="2:16" hidden="1" x14ac:dyDescent="0.25">
      <c r="B348"/>
      <c r="C348"/>
      <c r="D348"/>
      <c r="E348" t="s">
        <v>491</v>
      </c>
      <c r="F348"/>
      <c r="G348" t="e">
        <f>H348/reforming_hydrogenProductionQuantity</f>
        <v>#N/A</v>
      </c>
      <c r="H348">
        <f>production_transport_emissions</f>
        <v>0</v>
      </c>
      <c r="I348" t="s">
        <v>492</v>
      </c>
      <c r="J348"/>
      <c r="K348"/>
      <c r="L348"/>
      <c r="M348"/>
      <c r="N348"/>
      <c r="O348"/>
      <c r="P348"/>
    </row>
    <row r="349" spans="2:16" hidden="1" x14ac:dyDescent="0.25">
      <c r="B349"/>
      <c r="C349"/>
      <c r="D349"/>
      <c r="E349" t="s">
        <v>493</v>
      </c>
      <c r="F349"/>
      <c r="G349" t="e">
        <f>H349/reforming_hydrogenProductionQuantity</f>
        <v>#N/A</v>
      </c>
      <c r="H349">
        <f>production_storage_emissions</f>
        <v>0</v>
      </c>
      <c r="I349" t="s">
        <v>492</v>
      </c>
      <c r="J349"/>
      <c r="K349"/>
      <c r="L349"/>
      <c r="M349"/>
      <c r="N349"/>
      <c r="O349"/>
      <c r="P349"/>
    </row>
    <row r="350" spans="2:16" hidden="1" x14ac:dyDescent="0.25">
      <c r="B350"/>
      <c r="C350"/>
      <c r="D350"/>
      <c r="E350" t="s">
        <v>383</v>
      </c>
      <c r="F350"/>
      <c r="G350" s="227" t="e">
        <f>H350/reforming_hydrogenProductionQuantity</f>
        <v>#N/A</v>
      </c>
      <c r="H350" s="227">
        <f>O178</f>
        <v>0</v>
      </c>
      <c r="I350" t="s">
        <v>489</v>
      </c>
      <c r="J350"/>
      <c r="K350"/>
      <c r="L350"/>
      <c r="M350"/>
      <c r="N350"/>
      <c r="O350"/>
      <c r="P350"/>
    </row>
    <row r="351" spans="2:16" hidden="1" x14ac:dyDescent="0.25">
      <c r="B351"/>
      <c r="C351"/>
      <c r="D351"/>
      <c r="E351" t="s">
        <v>494</v>
      </c>
      <c r="F351"/>
      <c r="G351" s="1566"/>
      <c r="H351" s="227">
        <f>'Transport &amp; Storage - Hydrogen'!$H$121+'Transport &amp; Storage - Hydrogen'!$H$122</f>
        <v>0</v>
      </c>
      <c r="I351" s="1118" t="s">
        <v>495</v>
      </c>
      <c r="J351"/>
      <c r="K351"/>
      <c r="L351"/>
      <c r="M351"/>
      <c r="N351"/>
      <c r="O351"/>
      <c r="P351"/>
    </row>
    <row r="352" spans="2:16" hidden="1" x14ac:dyDescent="0.25">
      <c r="B352"/>
      <c r="C352"/>
      <c r="D352"/>
      <c r="E352" t="s">
        <v>496</v>
      </c>
      <c r="F352"/>
      <c r="G352" s="1566"/>
      <c r="H352" s="227">
        <f>'Transport &amp; Storage - Hydrogen'!$H$123</f>
        <v>0</v>
      </c>
      <c r="I352" s="1118" t="s">
        <v>495</v>
      </c>
      <c r="J352"/>
      <c r="K352"/>
      <c r="L352"/>
      <c r="M352"/>
      <c r="N352"/>
      <c r="O352"/>
      <c r="P352"/>
    </row>
    <row r="353" spans="2:16" hidden="1" x14ac:dyDescent="0.25">
      <c r="B353"/>
      <c r="C353"/>
      <c r="D353"/>
      <c r="E353"/>
      <c r="F353"/>
      <c r="G353"/>
      <c r="H353"/>
      <c r="J353"/>
      <c r="K353"/>
      <c r="L353"/>
      <c r="M353"/>
      <c r="N353"/>
      <c r="O353"/>
      <c r="P353"/>
    </row>
    <row r="354" spans="2:16" hidden="1" x14ac:dyDescent="0.25">
      <c r="B354"/>
      <c r="C354"/>
      <c r="D354"/>
      <c r="E354"/>
      <c r="F354"/>
      <c r="G354"/>
      <c r="H354"/>
      <c r="J354"/>
      <c r="K354"/>
      <c r="L354"/>
      <c r="M354"/>
      <c r="N354"/>
      <c r="O354"/>
      <c r="P354"/>
    </row>
    <row r="355" spans="2:16" hidden="1" x14ac:dyDescent="0.25">
      <c r="B355"/>
      <c r="C355"/>
      <c r="D355"/>
      <c r="F355"/>
      <c r="G355"/>
      <c r="H355"/>
      <c r="J355"/>
      <c r="K355"/>
      <c r="L355"/>
      <c r="M355"/>
      <c r="N355"/>
      <c r="O355"/>
      <c r="P355"/>
    </row>
    <row r="356" spans="2:16" hidden="1" x14ac:dyDescent="0.25">
      <c r="B356"/>
      <c r="C356"/>
      <c r="D356"/>
      <c r="F356"/>
      <c r="G356"/>
      <c r="H356"/>
      <c r="J356"/>
      <c r="K356"/>
      <c r="L356"/>
      <c r="M356"/>
      <c r="N356"/>
      <c r="O356"/>
      <c r="P356"/>
    </row>
    <row r="357" spans="2:16" hidden="1" x14ac:dyDescent="0.25">
      <c r="B357"/>
      <c r="C357"/>
      <c r="D357"/>
      <c r="F357"/>
      <c r="G357"/>
      <c r="H357"/>
      <c r="J357"/>
      <c r="K357"/>
      <c r="L357"/>
      <c r="M357"/>
      <c r="N357"/>
      <c r="O357"/>
      <c r="P357"/>
    </row>
    <row r="358" spans="2:16" hidden="1" x14ac:dyDescent="0.25">
      <c r="B358"/>
      <c r="C358"/>
      <c r="D358"/>
      <c r="F358"/>
      <c r="G358"/>
      <c r="H358"/>
      <c r="J358"/>
      <c r="K358"/>
      <c r="L358"/>
      <c r="M358"/>
      <c r="N358"/>
      <c r="O358"/>
      <c r="P358"/>
    </row>
    <row r="359" spans="2:16" hidden="1" x14ac:dyDescent="0.25">
      <c r="B359"/>
      <c r="C359"/>
      <c r="D359"/>
      <c r="F359"/>
      <c r="G359"/>
      <c r="H359"/>
      <c r="J359"/>
      <c r="K359"/>
      <c r="L359"/>
      <c r="M359"/>
      <c r="N359"/>
      <c r="O359"/>
      <c r="P359"/>
    </row>
    <row r="360" spans="2:16" hidden="1" x14ac:dyDescent="0.25">
      <c r="B360"/>
      <c r="C360"/>
      <c r="D360"/>
      <c r="F360"/>
      <c r="G360"/>
      <c r="H360"/>
      <c r="J360"/>
      <c r="K360"/>
      <c r="L360"/>
      <c r="M360"/>
      <c r="N360"/>
      <c r="O360"/>
      <c r="P360"/>
    </row>
    <row r="361" spans="2:16" hidden="1" x14ac:dyDescent="0.25">
      <c r="B361"/>
      <c r="C361"/>
      <c r="D361"/>
      <c r="E361"/>
      <c r="F361"/>
      <c r="G361"/>
      <c r="H361"/>
      <c r="J361"/>
      <c r="K361"/>
      <c r="L361"/>
      <c r="M361"/>
      <c r="N361"/>
      <c r="O361"/>
      <c r="P361"/>
    </row>
    <row r="362" spans="2:16" hidden="1" x14ac:dyDescent="0.25">
      <c r="B362"/>
      <c r="C362"/>
      <c r="D362"/>
      <c r="E362"/>
      <c r="F362"/>
      <c r="G362"/>
      <c r="H362"/>
      <c r="J362"/>
      <c r="K362"/>
      <c r="L362"/>
      <c r="M362"/>
      <c r="N362"/>
      <c r="O362"/>
      <c r="P362"/>
    </row>
    <row r="363" spans="2:16" hidden="1" x14ac:dyDescent="0.25">
      <c r="B363"/>
      <c r="C363"/>
      <c r="D363"/>
      <c r="E363"/>
      <c r="F363"/>
      <c r="G363"/>
      <c r="H363"/>
      <c r="J363"/>
      <c r="K363"/>
      <c r="L363"/>
      <c r="M363"/>
      <c r="N363"/>
      <c r="O363"/>
      <c r="P363"/>
    </row>
    <row r="364" spans="2:16" hidden="1" x14ac:dyDescent="0.25">
      <c r="B364"/>
      <c r="C364"/>
      <c r="D364"/>
      <c r="E364"/>
      <c r="F364"/>
      <c r="G364"/>
      <c r="H364"/>
      <c r="J364"/>
      <c r="K364"/>
      <c r="L364"/>
      <c r="M364"/>
      <c r="N364"/>
      <c r="O364"/>
      <c r="P364"/>
    </row>
    <row r="365" spans="2:16" hidden="1" x14ac:dyDescent="0.25">
      <c r="B365"/>
      <c r="C365"/>
      <c r="D365"/>
      <c r="E365"/>
      <c r="F365"/>
      <c r="G365"/>
      <c r="H365"/>
      <c r="J365"/>
      <c r="K365"/>
      <c r="L365"/>
      <c r="M365"/>
      <c r="N365"/>
      <c r="O365"/>
      <c r="P365"/>
    </row>
    <row r="366" spans="2:16" hidden="1" x14ac:dyDescent="0.25">
      <c r="B366"/>
      <c r="C366"/>
      <c r="D366"/>
      <c r="E366"/>
      <c r="F366"/>
      <c r="G366"/>
      <c r="H366"/>
      <c r="J366"/>
      <c r="K366"/>
      <c r="L366"/>
      <c r="M366"/>
      <c r="N366"/>
      <c r="O366"/>
      <c r="P366"/>
    </row>
    <row r="367" spans="2:16" hidden="1" x14ac:dyDescent="0.25">
      <c r="B367"/>
      <c r="C367"/>
      <c r="D367"/>
      <c r="E367"/>
      <c r="F367"/>
      <c r="G367"/>
      <c r="H367"/>
      <c r="J367"/>
      <c r="K367"/>
      <c r="L367"/>
      <c r="M367"/>
      <c r="N367"/>
      <c r="O367"/>
      <c r="P367"/>
    </row>
    <row r="368" spans="2:16" hidden="1" x14ac:dyDescent="0.25">
      <c r="B368"/>
      <c r="C368"/>
      <c r="D368"/>
      <c r="E368"/>
      <c r="F368"/>
      <c r="G368"/>
      <c r="H368"/>
      <c r="J368"/>
      <c r="K368"/>
      <c r="L368"/>
      <c r="M368"/>
      <c r="N368"/>
      <c r="O368"/>
      <c r="P368"/>
    </row>
    <row r="369" spans="2:16" hidden="1" x14ac:dyDescent="0.25">
      <c r="B369"/>
      <c r="C369"/>
      <c r="D369"/>
      <c r="E369"/>
      <c r="F369"/>
      <c r="G369"/>
      <c r="H369"/>
      <c r="J369"/>
      <c r="K369"/>
      <c r="L369"/>
      <c r="M369"/>
      <c r="N369"/>
      <c r="O369"/>
      <c r="P369"/>
    </row>
    <row r="370" spans="2:16" hidden="1" x14ac:dyDescent="0.25">
      <c r="B370"/>
      <c r="C370"/>
      <c r="D370"/>
      <c r="E370"/>
      <c r="F370"/>
      <c r="G370"/>
      <c r="H370"/>
      <c r="J370"/>
      <c r="K370"/>
      <c r="L370"/>
      <c r="M370"/>
      <c r="N370"/>
      <c r="O370"/>
      <c r="P370"/>
    </row>
    <row r="371" spans="2:16" hidden="1" x14ac:dyDescent="0.25">
      <c r="B371"/>
      <c r="C371"/>
      <c r="D371"/>
      <c r="E371"/>
      <c r="F371"/>
      <c r="G371"/>
      <c r="H371"/>
      <c r="J371"/>
      <c r="K371"/>
      <c r="L371"/>
      <c r="M371"/>
      <c r="N371"/>
      <c r="O371"/>
      <c r="P371"/>
    </row>
    <row r="372" spans="2:16" hidden="1" x14ac:dyDescent="0.25">
      <c r="B372"/>
      <c r="C372"/>
      <c r="D372"/>
      <c r="E372"/>
      <c r="F372"/>
      <c r="G372"/>
      <c r="H372"/>
      <c r="J372"/>
      <c r="K372"/>
      <c r="L372"/>
      <c r="M372"/>
      <c r="N372"/>
      <c r="O372"/>
      <c r="P372"/>
    </row>
    <row r="373" spans="2:16" hidden="1" x14ac:dyDescent="0.25">
      <c r="B373"/>
      <c r="C373"/>
      <c r="D373"/>
      <c r="E373"/>
      <c r="F373"/>
      <c r="G373"/>
      <c r="H373"/>
      <c r="J373"/>
      <c r="K373"/>
      <c r="L373"/>
      <c r="M373"/>
      <c r="N373"/>
      <c r="O373"/>
      <c r="P373"/>
    </row>
    <row r="374" spans="2:16" hidden="1" x14ac:dyDescent="0.25">
      <c r="B374"/>
      <c r="C374"/>
      <c r="D374"/>
      <c r="E374"/>
      <c r="F374"/>
      <c r="G374"/>
      <c r="H374"/>
      <c r="J374"/>
      <c r="K374"/>
      <c r="L374"/>
      <c r="M374"/>
      <c r="N374"/>
      <c r="O374"/>
      <c r="P374"/>
    </row>
    <row r="375" spans="2:16" hidden="1" x14ac:dyDescent="0.25">
      <c r="B375"/>
      <c r="C375"/>
      <c r="D375"/>
      <c r="E375"/>
      <c r="F375"/>
      <c r="G375"/>
      <c r="H375"/>
      <c r="J375"/>
      <c r="K375"/>
      <c r="L375"/>
      <c r="M375"/>
      <c r="N375"/>
      <c r="O375"/>
      <c r="P375"/>
    </row>
    <row r="376" spans="2:16" hidden="1" x14ac:dyDescent="0.25">
      <c r="B376"/>
      <c r="C376"/>
      <c r="D376"/>
      <c r="E376"/>
      <c r="F376"/>
      <c r="G376"/>
      <c r="H376"/>
      <c r="J376"/>
      <c r="K376"/>
      <c r="L376"/>
      <c r="M376"/>
      <c r="N376"/>
      <c r="O376"/>
      <c r="P376"/>
    </row>
    <row r="377" spans="2:16" hidden="1" x14ac:dyDescent="0.25">
      <c r="B377"/>
      <c r="C377"/>
      <c r="D377"/>
      <c r="E377"/>
      <c r="F377"/>
      <c r="G377"/>
      <c r="H377"/>
      <c r="J377"/>
      <c r="K377"/>
      <c r="L377"/>
      <c r="M377"/>
      <c r="N377"/>
      <c r="O377"/>
      <c r="P377"/>
    </row>
    <row r="378" spans="2:16" hidden="1" x14ac:dyDescent="0.25">
      <c r="B378"/>
      <c r="C378"/>
      <c r="D378"/>
      <c r="E378"/>
      <c r="F378"/>
      <c r="G378"/>
      <c r="H378"/>
      <c r="J378"/>
      <c r="K378"/>
      <c r="L378"/>
      <c r="M378"/>
      <c r="N378"/>
      <c r="O378"/>
      <c r="P378"/>
    </row>
    <row r="379" spans="2:16" hidden="1" x14ac:dyDescent="0.25">
      <c r="E379"/>
      <c r="F379"/>
      <c r="G379"/>
      <c r="H379"/>
    </row>
    <row r="380" spans="2:16" hidden="1" x14ac:dyDescent="0.25">
      <c r="E380"/>
      <c r="F380"/>
      <c r="G380"/>
      <c r="H380"/>
    </row>
    <row r="381" spans="2:16" hidden="1" x14ac:dyDescent="0.25">
      <c r="E381"/>
      <c r="F381"/>
      <c r="G381"/>
      <c r="H381"/>
    </row>
    <row r="382" spans="2:16" hidden="1" x14ac:dyDescent="0.25">
      <c r="E382"/>
      <c r="F382"/>
      <c r="G382"/>
      <c r="H382"/>
    </row>
    <row r="383" spans="2:16" hidden="1" x14ac:dyDescent="0.25">
      <c r="E383"/>
      <c r="F383"/>
      <c r="G383"/>
      <c r="H383"/>
    </row>
    <row r="384" spans="2:16" hidden="1" x14ac:dyDescent="0.25">
      <c r="E384"/>
      <c r="F384"/>
      <c r="G384"/>
      <c r="H384"/>
    </row>
    <row r="385" spans="5:8" hidden="1" x14ac:dyDescent="0.25">
      <c r="E385"/>
      <c r="F385"/>
      <c r="G385"/>
      <c r="H385"/>
    </row>
    <row r="386" spans="5:8" hidden="1" x14ac:dyDescent="0.25">
      <c r="E386"/>
      <c r="F386"/>
      <c r="G386"/>
      <c r="H386"/>
    </row>
    <row r="387" spans="5:8" hidden="1" x14ac:dyDescent="0.25">
      <c r="E387"/>
      <c r="F387"/>
      <c r="G387"/>
      <c r="H387"/>
    </row>
    <row r="388" spans="5:8" hidden="1" x14ac:dyDescent="0.25">
      <c r="E388"/>
      <c r="F388"/>
      <c r="G388"/>
      <c r="H388"/>
    </row>
    <row r="389" spans="5:8" hidden="1" x14ac:dyDescent="0.25">
      <c r="E389"/>
      <c r="F389"/>
      <c r="G389"/>
      <c r="H389"/>
    </row>
    <row r="390" spans="5:8" hidden="1" x14ac:dyDescent="0.25">
      <c r="E390"/>
      <c r="F390"/>
      <c r="G390"/>
      <c r="H390"/>
    </row>
    <row r="391" spans="5:8" hidden="1" x14ac:dyDescent="0.25">
      <c r="E391"/>
      <c r="F391"/>
      <c r="G391"/>
      <c r="H391"/>
    </row>
  </sheetData>
  <sheetProtection sheet="1" selectLockedCells="1"/>
  <mergeCells count="21">
    <mergeCell ref="B3:Q3"/>
    <mergeCell ref="AL36:AL37"/>
    <mergeCell ref="AM36:AM37"/>
    <mergeCell ref="AH33:AM35"/>
    <mergeCell ref="G86:G87"/>
    <mergeCell ref="AH36:AH37"/>
    <mergeCell ref="AI36:AI37"/>
    <mergeCell ref="AJ36:AJ37"/>
    <mergeCell ref="AK36:AK37"/>
    <mergeCell ref="C55:C56"/>
    <mergeCell ref="H67:H68"/>
    <mergeCell ref="H76:H77"/>
    <mergeCell ref="H86:H87"/>
    <mergeCell ref="H41:H42"/>
    <mergeCell ref="H92:K92"/>
    <mergeCell ref="Y263:Z263"/>
    <mergeCell ref="Y264:Z264"/>
    <mergeCell ref="I31:I32"/>
    <mergeCell ref="I93:I94"/>
    <mergeCell ref="J93:J94"/>
    <mergeCell ref="K93:K94"/>
  </mergeCells>
  <phoneticPr fontId="3" type="noConversion"/>
  <conditionalFormatting sqref="G89">
    <cfRule type="expression" dxfId="244" priority="64">
      <formula>NOT(ISNUMBER($Y89))</formula>
    </cfRule>
  </conditionalFormatting>
  <conditionalFormatting sqref="H96:H100">
    <cfRule type="expression" dxfId="243" priority="346">
      <formula>AND(NOT(ISNUMBER(AC96)),$F96&lt;&gt;"")</formula>
    </cfRule>
  </conditionalFormatting>
  <conditionalFormatting sqref="I41:I42">
    <cfRule type="expression" dxfId="242" priority="2">
      <formula>($H$44&lt;&gt;"")</formula>
    </cfRule>
  </conditionalFormatting>
  <conditionalFormatting sqref="I44">
    <cfRule type="expression" dxfId="241" priority="1">
      <formula>($H$44&lt;&gt;"")</formula>
    </cfRule>
  </conditionalFormatting>
  <conditionalFormatting sqref="K96:K100">
    <cfRule type="expression" dxfId="230" priority="347">
      <formula>AND(NOT(ISNUMBER($AB96)),$F96&lt;&gt;"")</formula>
    </cfRule>
  </conditionalFormatting>
  <conditionalFormatting sqref="K118">
    <cfRule type="expression" dxfId="228" priority="47">
      <formula>NOT(ISBLANK($H$120))</formula>
    </cfRule>
  </conditionalFormatting>
  <conditionalFormatting sqref="K120">
    <cfRule type="expression" dxfId="226" priority="49">
      <formula>NOT(ISBLANK($H$120))</formula>
    </cfRule>
  </conditionalFormatting>
  <dataValidations count="30">
    <dataValidation type="decimal" operator="greaterThanOrEqual" allowBlank="1" showInputMessage="1" showErrorMessage="1" prompt="If no bespoke factor is entered a default will be selected. Default value as per NGA Factors, Table 43" sqref="G89" xr:uid="{F5ED8742-FD36-424C-9AF3-3206B4FB9B93}">
      <formula1>0</formula1>
    </dataValidation>
    <dataValidation type="decimal" operator="greaterThanOrEqual" allowBlank="1" showInputMessage="1" showErrorMessage="1" sqref="F79:F82 H79:H82 E137 E166:E168 E159 G149:G152 J34:J36 F184:F185 J120 F70:F72 E139:E142" xr:uid="{9821F3FB-3686-4D69-ACB6-1D5FFFBA433D}">
      <formula1>0</formula1>
    </dataValidation>
    <dataValidation type="decimal" operator="greaterThanOrEqual" allowBlank="1" showInputMessage="1" showErrorMessage="1" prompt="If mass is unknown, leave blank and enter percentage of gas flared._x000a__x000a_If both mass and percentage cells are left blanks, no flaring is assumed" sqref="H120" xr:uid="{F3165FCA-A8F7-4264-878A-664CD06E8A24}">
      <formula1>0</formula1>
    </dataValidation>
    <dataValidation type="decimal" allowBlank="1" showInputMessage="1" showErrorMessage="1" prompt="Leave blank to use default value." sqref="E127:E129" xr:uid="{66AC1E44-762B-4B18-99F7-BF86958D84E0}">
      <formula1>0</formula1>
      <formula2>1</formula2>
    </dataValidation>
    <dataValidation type="decimal" operator="greaterThanOrEqual" allowBlank="1" showInputMessage="1" showErrorMessage="1" prompt="If no value is entered, a default will be selected. The default value assumes all reaction gases are vented" sqref="F120" xr:uid="{FBAA6F7B-8CB2-4C1B-8267-F3D527689A95}">
      <formula1>0</formula1>
    </dataValidation>
    <dataValidation allowBlank="1" showInputMessage="1" showErrorMessage="1" prompt="i.e. river water, groundwater, etc." sqref="E44" xr:uid="{BC8202B8-8101-46EF-8C91-0673E46A2F6B}"/>
    <dataValidation allowBlank="1" showInputMessage="1" showErrorMessage="1" prompt="Inputs may include chemicals, materials, etc." sqref="E79" xr:uid="{4AEED0A2-01BA-4D42-B61B-D8E59C9F7989}"/>
    <dataValidation type="decimal" operator="greaterThanOrEqual" allowBlank="1" showInputMessage="1" showErrorMessage="1" prompt="If no bespoke factor is entered a default will be selected. The default energy content factor is related to &quot;natural gas distributed in a pipeline&quot; as per Schedule 1 of the NGER Measurement Determination" sqref="H89" xr:uid="{F1F5D83F-6F6F-465B-8FDF-4A4CE91F1D52}">
      <formula1>0</formula1>
    </dataValidation>
    <dataValidation type="decimal" operator="greaterThanOrEqual" allowBlank="1" showInputMessage="1" showErrorMessage="1" prompt="If no bespoke factor entered, a default will be selected." sqref="I96:J100" xr:uid="{ADE9679D-3D51-4175-B377-D358BA8795A9}">
      <formula1>0</formula1>
    </dataValidation>
    <dataValidation type="decimal" allowBlank="1" showInputMessage="1" showErrorMessage="1" sqref="K120" xr:uid="{9EB8A5E7-4692-4BA2-BA1C-65CD0918B23E}">
      <formula1>0</formula1>
      <formula2>1</formula2>
    </dataValidation>
    <dataValidation type="decimal" operator="greaterThanOrEqual" allowBlank="1" showInputMessage="1" showErrorMessage="1" prompt="If no bespoke factor is entered a default will be selected._x000a__x000a_Note no defaults exist for some fuels. Cell will appear red if no default exists_x000a_" sqref="K96:K100" xr:uid="{603E6BF9-51F7-4E1D-BA2B-811AE4C207F8}">
      <formula1>0</formula1>
    </dataValidation>
    <dataValidation type="decimal" operator="greaterThanOrEqual" allowBlank="1" showInputMessage="1" showErrorMessage="1" prompt="Leave blank to use default value" sqref="I34:I36" xr:uid="{C642D84B-7CEE-428D-95AB-F2CDDB4B9BB4}">
      <formula1>0</formula1>
    </dataValidation>
    <dataValidation type="decimal" operator="greaterThanOrEqual" allowBlank="1" showInputMessage="1" showErrorMessage="1" prompt="Value must be entered to use default emission factor" sqref="I44" xr:uid="{3C441668-CA15-4411-984F-F2E8B48EEE4C}">
      <formula1>0</formula1>
    </dataValidation>
    <dataValidation allowBlank="1" showInputMessage="1" showErrorMessage="1" prompt="Leave blank to use default value" sqref="H44" xr:uid="{D6F81B45-E795-424B-9BE6-AB1CDD10293A}"/>
    <dataValidation allowBlank="1" showInputMessage="1" showErrorMessage="1" prompt="Enter percentage (%) purity at gate" sqref="E26" xr:uid="{F620E184-D0FB-4B9D-B8F1-B54213922BF5}"/>
    <dataValidation allowBlank="1" showDropDown="1" showInputMessage="1" showErrorMessage="1" sqref="AE51:AE55 C55 C51" xr:uid="{A53BBBEC-E9AE-406D-ADD5-DDAC774AB7DE}"/>
    <dataValidation type="decimal" operator="greaterThanOrEqual" showInputMessage="1" showErrorMessage="1" error="Quantity sold must be greater than or equal to 0." sqref="F166:F168" xr:uid="{896D4E50-066D-4DD0-AD68-7776DA6247B0}">
      <formula1>0</formula1>
    </dataValidation>
    <dataValidation type="decimal" operator="greaterThanOrEqual" allowBlank="1" showInputMessage="1" showErrorMessage="1" prompt="Input total electricity consumption allocated to this process from all electricity sources" sqref="E51" xr:uid="{56CD77BC-615F-4937-9904-E223ABFBCA15}">
      <formula1>0</formula1>
    </dataValidation>
    <dataValidation type="decimal" operator="greaterThanOrEqual" allowBlank="1" showErrorMessage="1" error="Value must be greater than or equal to 0." sqref="G34:G36" xr:uid="{E6CF8BBB-9C02-43FD-9572-F92A193CE651}">
      <formula1>0</formula1>
    </dataValidation>
    <dataValidation type="decimal" operator="greaterThanOrEqual" allowBlank="1" showErrorMessage="1" error="Value must be greater than or equal to zero." sqref="E17 E24 G107:G113 F44 G96:G100" xr:uid="{96BFA7D0-9E0A-4162-9D11-4F52F6BB10CC}">
      <formula1>0</formula1>
    </dataValidation>
    <dataValidation allowBlank="1" showInputMessage="1" showErrorMessage="1" prompt="Enter contaminant information, i.e. type and concentration" sqref="E27" xr:uid="{CB4768C5-613E-4CA4-A962-0D356F8AD208}"/>
    <dataValidation type="decimal" operator="greaterThanOrEqual" allowBlank="1" showInputMessage="1" showErrorMessage="1" error="Value must be greater than or equal to zero." prompt="Input total quantity of steam produced via a Combined Heat and Power system consumed by this process. Value must be less than or equal to the total steam produced via CHP input into 'Electricity Usage' tab." sqref="E62" xr:uid="{40C52FFF-6231-4244-8097-C09DC465BBF3}">
      <formula1>0</formula1>
    </dataValidation>
    <dataValidation type="decimal" operator="greaterThanOrEqual" allowBlank="1" showInputMessage="1" showErrorMessage="1" prompt="Input total quantity of renewable electricity allocated to this process. Value must be less than or equal to the total renewable electricity input into 'Electricity Usage' tab." sqref="E52" xr:uid="{FC9D59EB-D1EC-4627-8756-CFF938776E78}">
      <formula1>0</formula1>
    </dataValidation>
    <dataValidation type="decimal" operator="greaterThanOrEqual" allowBlank="1" showInputMessage="1" showErrorMessage="1" prompt="Input total quantity of grid electricity allocated to this process. Value must be less than or equal to the total grid electricity input into 'Electricity Usage' tab." sqref="E54" xr:uid="{076C08DA-A223-4F94-BDF4-E42D75D6EB92}">
      <formula1>0</formula1>
    </dataValidation>
    <dataValidation type="decimal" operator="greaterThanOrEqual" allowBlank="1" showInputMessage="1" showErrorMessage="1" prompt="Input total quantity of onsite electricity generated via fuel combustion allocated to this process. Value must be less than or equal to the total input into 'Electricity Usage' tab." sqref="E55" xr:uid="{720C8E19-E304-4248-9D50-DA53954171B0}">
      <formula1>0</formula1>
    </dataValidation>
    <dataValidation type="decimal" operator="greaterThanOrEqual" allowBlank="1" showInputMessage="1" showErrorMessage="1" prompt="Leave blank to use default value." sqref="H70:H72" xr:uid="{B0174429-7279-42F3-A44E-F4F5C1F80F08}">
      <formula1>0</formula1>
    </dataValidation>
    <dataValidation allowBlank="1" showInputMessage="1" showErrorMessage="1" prompt="Note: All Co-Product names must be unique." sqref="C175:C177" xr:uid="{2319E97F-D493-4EE1-AAA6-9F81D1D3FCA5}"/>
    <dataValidation type="list" allowBlank="1" showInputMessage="1" showErrorMessage="1" sqref="F51:F52 F54:F55 F159" xr:uid="{49035A96-D14E-4A25-A669-C5732E3DF807}">
      <formula1>Energy_Units_Options</formula1>
    </dataValidation>
    <dataValidation type="decimal" operator="greaterThanOrEqual" allowBlank="1" showInputMessage="1" showErrorMessage="1" error="Value must be greater than or equal to zero." prompt="Currently defaults to &quot;natural gas from a pipeline&quot;, for other fuel feedstocks, please use the supplier factors." sqref="E89" xr:uid="{5571E59E-55E7-4318-AB76-FAAA4ED34C98}">
      <formula1>0</formula1>
    </dataValidation>
    <dataValidation allowBlank="1" showDropDown="1" showInputMessage="1" showErrorMessage="1" prompt="Includes renewables from both onsite generation and purchased REC's" sqref="C52" xr:uid="{F2466403-A16C-4936-8039-56ED52960207}"/>
  </dataValidations>
  <pageMargins left="0.7" right="0.7" top="0.75" bottom="0.75" header="0.3" footer="0.3"/>
  <pageSetup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84" id="{235B750B-88F5-471B-9A5C-8455945B32B5}">
            <xm:f>OR((OR(($F34='Key Values'!$B$26),($F34='Key Values'!$B$27))),(OR(($F35='Key Values'!$B$26),($F35='Key Values'!$B$27))),(OR(($F36='Key Values'!$B$26),($F36='Key Values'!$B$27))))</xm:f>
            <x14:dxf>
              <font>
                <color auto="1"/>
              </font>
              <fill>
                <patternFill patternType="solid">
                  <bgColor rgb="FF00A7D3"/>
                </patternFill>
              </fill>
            </x14:dxf>
          </x14:cfRule>
          <xm:sqref>J32</xm:sqref>
        </x14:conditionalFormatting>
        <x14:conditionalFormatting xmlns:xm="http://schemas.microsoft.com/office/excel/2006/main">
          <x14:cfRule type="expression" priority="30" id="{948EEDB2-B309-44A8-8359-C23EBB03E0A5}">
            <xm:f>OR(($F34='Key Values'!$B$26),($F34='Key Values'!$B$27))</xm:f>
            <x14:dxf>
              <border>
                <top style="thin">
                  <color auto="1"/>
                </top>
                <bottom/>
                <vertical/>
                <horizontal/>
              </border>
            </x14:dxf>
          </x14:cfRule>
          <xm:sqref>J34</xm:sqref>
        </x14:conditionalFormatting>
        <x14:conditionalFormatting xmlns:xm="http://schemas.microsoft.com/office/excel/2006/main">
          <x14:cfRule type="expression" priority="33" id="{E2E6D08E-AC44-486E-A0E7-5BF6162D56DB}">
            <xm:f>OR(($F34='Key Values'!$B$26),($F34='Key Values'!$B$27))</xm:f>
            <x14:dxf>
              <font>
                <color auto="1"/>
              </font>
              <fill>
                <patternFill>
                  <bgColor theme="5" tint="0.59996337778862885"/>
                </patternFill>
              </fill>
              <border>
                <left style="hair">
                  <color auto="1"/>
                </left>
                <right style="thin">
                  <color auto="1"/>
                </right>
                <top/>
                <bottom/>
              </border>
            </x14:dxf>
          </x14:cfRule>
          <xm:sqref>J34:J36</xm:sqref>
        </x14:conditionalFormatting>
        <x14:conditionalFormatting xmlns:xm="http://schemas.microsoft.com/office/excel/2006/main">
          <x14:cfRule type="expression" priority="24" id="{A5CD0C23-7E31-4C9B-8689-CCFE71FAD6B7}">
            <xm:f>AND(NOT(OR(($F36='Key Values'!$B$26),($F36='Key Values'!$B$27))),OR(($F35='Key Values'!$B$26),($F35='Key Values'!$B$27)))</xm:f>
            <x14:dxf>
              <border>
                <bottom style="thin">
                  <color auto="1"/>
                </bottom>
                <vertical/>
                <horizontal/>
              </border>
            </x14:dxf>
          </x14:cfRule>
          <x14:cfRule type="expression" priority="25" id="{1757CD0D-5710-48D0-8FEB-2D8E2F53EB26}">
            <xm:f>AND(NOT(OR(($F34='Key Values'!$B$26),($F34='Key Values'!$B$27))),OR(($F35='Key Values'!$B$26),($F35='Key Values'!$B$27)))</xm:f>
            <x14:dxf>
              <border>
                <top style="thin">
                  <color auto="1"/>
                </top>
                <vertical/>
                <horizontal/>
              </border>
            </x14:dxf>
          </x14:cfRule>
          <x14:cfRule type="expression" priority="27" id="{8F8F9456-0686-406E-B9D1-EFD0B55CE40F}">
            <xm:f>AND(NOT(OR(($F35='Key Values'!$B$26),($F35='Key Values'!$B$27))),OR(($F34='Key Values'!$B$26),($F34='Key Values'!$B$27)))</xm:f>
            <x14:dxf>
              <border>
                <top style="thin">
                  <color auto="1"/>
                </top>
                <vertical/>
                <horizontal/>
              </border>
            </x14:dxf>
          </x14:cfRule>
          <x14:cfRule type="expression" priority="28" id="{4B928EA2-23ED-4EC2-A4A0-63A2CAC6AFFB}">
            <xm:f>AND(NOT(OR(($F35='Key Values'!$B$26),($F35='Key Values'!$B$27))),OR(($F36='Key Values'!$B$26),($F36='Key Values'!$B$27)))</xm:f>
            <x14:dxf>
              <border>
                <bottom style="thin">
                  <color auto="1"/>
                </bottom>
                <vertical/>
                <horizontal/>
              </border>
            </x14:dxf>
          </x14:cfRule>
          <x14:cfRule type="expression" priority="29" id="{09066167-445C-4112-9C0D-8989520869CD}">
            <xm:f>AND(OR(($F34='Key Values'!$B$26),($F34='Key Values'!$B$27)),OR(($F35='Key Values'!$B$26),($F35='Key Values'!$B$27)))</xm:f>
            <x14:dxf>
              <border>
                <top style="hair">
                  <color auto="1"/>
                </top>
                <vertical/>
                <horizontal/>
              </border>
            </x14:dxf>
          </x14:cfRule>
          <x14:cfRule type="expression" priority="31" id="{F1B362F4-7E31-4175-B577-7D96FB0D6FB4}">
            <xm:f>AND(OR(($F35='Key Values'!$B$26),($F35='Key Values'!$B$27)),OR(($F36='Key Values'!$B$26),($F36='Key Values'!$B$27)))</xm:f>
            <x14:dxf>
              <border>
                <bottom style="hair">
                  <color auto="1"/>
                </bottom>
                <vertical/>
                <horizontal/>
              </border>
            </x14:dxf>
          </x14:cfRule>
          <xm:sqref>J35</xm:sqref>
        </x14:conditionalFormatting>
        <x14:conditionalFormatting xmlns:xm="http://schemas.microsoft.com/office/excel/2006/main">
          <x14:cfRule type="expression" priority="32" id="{F859E7D8-305B-4A5A-8467-77AAA190D8D2}">
            <xm:f>OR(($F36='Key Values'!$B$26),($F36='Key Values'!$B$27))</xm:f>
            <x14:dxf>
              <border>
                <bottom style="thin">
                  <color auto="1"/>
                </bottom>
                <vertical/>
                <horizontal/>
              </border>
            </x14:dxf>
          </x14:cfRule>
          <xm:sqref>J36</xm:sqref>
        </x14:conditionalFormatting>
        <x14:conditionalFormatting xmlns:xm="http://schemas.microsoft.com/office/excel/2006/main">
          <x14:cfRule type="expression" priority="23" id="{42D09603-7848-4D7E-8C9E-B001525B297B}">
            <xm:f>$E$120='Key Values'!$B$271</xm:f>
            <x14:dxf>
              <font>
                <color rgb="FF00A7D3"/>
              </font>
            </x14:dxf>
          </x14:cfRule>
          <xm:sqref>K118</xm:sqref>
        </x14:conditionalFormatting>
        <x14:conditionalFormatting xmlns:xm="http://schemas.microsoft.com/office/excel/2006/main">
          <x14:cfRule type="expression" priority="42" id="{84188A86-2954-4902-98B1-F96AFC5B9DE7}">
            <xm:f>$E$120='Key Values'!$B$271</xm:f>
            <x14:dxf>
              <font>
                <color rgb="FFE6E7E8"/>
              </font>
              <fill>
                <patternFill>
                  <bgColor rgb="FFE6E7E8"/>
                </patternFill>
              </fill>
              <border>
                <left style="thin">
                  <color auto="1"/>
                </left>
              </border>
            </x14:dxf>
          </x14:cfRule>
          <x14:cfRule type="expression" priority="60" id="{00000000-000E-0000-0800-000007000000}">
            <xm:f>AND(ISBLANK($H$120),$E$120&lt;&gt;'Key Values'!$B$271)</xm:f>
            <x14:dxf>
              <border>
                <left style="hair">
                  <color auto="1"/>
                </left>
                <right style="thin">
                  <color auto="1"/>
                </right>
                <top style="thin">
                  <color auto="1"/>
                </top>
                <bottom style="thin">
                  <color auto="1"/>
                </bottom>
                <vertical/>
                <horizontal/>
              </border>
            </x14:dxf>
          </x14:cfRule>
          <xm:sqref>K120</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93FC2B1-A602-4DA8-96CB-F8816191AF63}">
          <x14:formula1>
            <xm:f>'Key Values'!$B$35:$B$37</xm:f>
          </x14:formula1>
          <xm:sqref>E96:E100</xm:sqref>
        </x14:dataValidation>
        <x14:dataValidation type="list" allowBlank="1" showInputMessage="1" showErrorMessage="1" xr:uid="{CDD72533-B505-42B7-9BF3-F99E4156300D}">
          <x14:formula1>
            <xm:f>'Hidden Lists and Summaries'!$B$5:$B$11</xm:f>
          </x14:formula1>
          <xm:sqref>F149:F152</xm:sqref>
        </x14:dataValidation>
        <x14:dataValidation type="list" allowBlank="1" showInputMessage="1" showErrorMessage="1" xr:uid="{865DF3BD-F5F2-4AE4-94CA-F0478ECA9918}">
          <x14:formula1>
            <xm:f>'Hidden Lists and Summaries'!$B$29:$B$34</xm:f>
          </x14:formula1>
          <xm:sqref>G79:G82 G175:G177</xm:sqref>
        </x14:dataValidation>
        <x14:dataValidation type="list" allowBlank="1" showInputMessage="1" showErrorMessage="1" xr:uid="{42B1A32A-1B47-4021-B3A8-322ECE5EC75E}">
          <x14:formula1>
            <xm:f>'Key Values'!$B$20:$B$27</xm:f>
          </x14:formula1>
          <xm:sqref>F34:F36</xm:sqref>
        </x14:dataValidation>
        <x14:dataValidation type="list" allowBlank="1" showInputMessage="1" showErrorMessage="1" xr:uid="{9574FEF8-91F6-480A-AAAC-2A95873CBFA3}">
          <x14:formula1>
            <xm:f>'Key Values'!$B$313:$B$315</xm:f>
          </x14:formula1>
          <xm:sqref>G120</xm:sqref>
        </x14:dataValidation>
        <x14:dataValidation type="list" allowBlank="1" showInputMessage="1" showErrorMessage="1" xr:uid="{8E2D5953-458B-4434-8741-EA2D00583F90}">
          <x14:formula1>
            <xm:f>'Key Values'!$B$296:$B$298</xm:f>
          </x14:formula1>
          <xm:sqref>F89</xm:sqref>
        </x14:dataValidation>
        <x14:dataValidation type="list" allowBlank="1" showInputMessage="1" showErrorMessage="1" xr:uid="{B3B3E86C-1052-4A3D-B461-854ECED6FEFB}">
          <x14:formula1>
            <xm:f>'Key Values'!$B$291:$B$292</xm:f>
          </x14:formula1>
          <xm:sqref>F62 G70:G72 I120 H107:H113 G166:G168 F17 F24</xm:sqref>
        </x14:dataValidation>
        <x14:dataValidation type="list" allowBlank="1" showDropDown="1" showInputMessage="1" showErrorMessage="1" xr:uid="{3EF1E4D3-2B52-4DA7-9F4A-0BE07FD7A213}">
          <x14:formula1>
            <xm:f>'Key Values'!$B$291</xm:f>
          </x14:formula1>
          <xm:sqref>G184:G185 F137:F142</xm:sqref>
        </x14:dataValidation>
        <x14:dataValidation type="list" allowBlank="1" showInputMessage="1" showErrorMessage="1" xr:uid="{7AC39278-ED5C-461B-855B-3E9425F93C72}">
          <x14:formula1>
            <xm:f>'Key Values'!$B$313:$B$317</xm:f>
          </x14:formula1>
          <xm:sqref>H34:H36 G44</xm:sqref>
        </x14:dataValidation>
        <x14:dataValidation type="list" allowBlank="1" showInputMessage="1" showErrorMessage="1" xr:uid="{F3042D18-6160-42AC-A425-4EE98EFE0FC6}">
          <x14:formula1>
            <xm:f>'Key Values'!$B$189:$B$192</xm:f>
          </x14:formula1>
          <xm:sqref>E107:E113</xm:sqref>
        </x14:dataValidation>
        <x14:dataValidation type="list" allowBlank="1" showInputMessage="1" showErrorMessage="1" xr:uid="{D8377B26-EAD1-46E7-9114-5823C6B9ECF0}">
          <x14:formula1>
            <xm:f>'Key Values'!$B$254:$B$256</xm:f>
          </x14:formula1>
          <xm:sqref>E120</xm:sqref>
        </x14:dataValidation>
        <x14:dataValidation type="list" allowBlank="1" showInputMessage="1" showErrorMessage="1" xr:uid="{26501675-1985-4C9C-A607-D5B94F00F0B1}">
          <x14:formula1>
            <xm:f>IF($E$113='Key Values'!$B$192,'Key Values'!$B$221,'Key Values'!$B$222:$B$234)</xm:f>
          </x14:formula1>
          <xm:sqref>F113</xm:sqref>
        </x14:dataValidation>
        <x14:dataValidation type="list" allowBlank="1" showInputMessage="1" showErrorMessage="1" xr:uid="{45140DE4-45C4-41DC-A7C7-BC07698B7984}">
          <x14:formula1>
            <xm:f>IF($E$112='Key Values'!$B$192,'Key Values'!$B$221,'Key Values'!$B$222:$B$234)</xm:f>
          </x14:formula1>
          <xm:sqref>F112</xm:sqref>
        </x14:dataValidation>
        <x14:dataValidation type="list" allowBlank="1" showInputMessage="1" showErrorMessage="1" xr:uid="{C8A26121-28DB-47F8-9B62-39B40EAC30A7}">
          <x14:formula1>
            <xm:f>IF($E$111='Key Values'!$B$192,'Key Values'!$B$221,'Key Values'!$B$222:$B$234)</xm:f>
          </x14:formula1>
          <xm:sqref>F111</xm:sqref>
        </x14:dataValidation>
        <x14:dataValidation type="list" allowBlank="1" showInputMessage="1" showErrorMessage="1" xr:uid="{4156A270-1620-4BB1-9BFC-F77C4B77CCF2}">
          <x14:formula1>
            <xm:f>IF($E$109='Key Values'!$B$192,'Key Values'!$B$221,'Key Values'!$B$222:$B$234)</xm:f>
          </x14:formula1>
          <xm:sqref>F109</xm:sqref>
        </x14:dataValidation>
        <x14:dataValidation type="list" allowBlank="1" showInputMessage="1" showErrorMessage="1" xr:uid="{2E7EEC97-5FF3-4FD7-9F3A-A3783363E75C}">
          <x14:formula1>
            <xm:f>IF($E$108='Key Values'!$B$192,'Key Values'!$B$221,'Key Values'!$B$222:$B$234)</xm:f>
          </x14:formula1>
          <xm:sqref>F108</xm:sqref>
        </x14:dataValidation>
        <x14:dataValidation type="list" allowBlank="1" showInputMessage="1" showErrorMessage="1" xr:uid="{8BE6391C-FB40-4E37-9CBC-CA484A8E29AA}">
          <x14:formula1>
            <xm:f>IF($E$107='Key Values'!$B$192,'Key Values'!$B$221,'Key Values'!$B$222:$B$234)</xm:f>
          </x14:formula1>
          <xm:sqref>F107</xm:sqref>
        </x14:dataValidation>
        <x14:dataValidation type="list" allowBlank="1" showInputMessage="1" showErrorMessage="1" xr:uid="{91D59D23-D556-4FF4-98D6-4125DFA81939}">
          <x14:formula1>
            <xm:f>IF($E$110='Key Values'!$B$192,'Key Values'!$B$221,'Key Values'!$B$222:$B$234)</xm:f>
          </x14:formula1>
          <xm:sqref>F110</xm:sqref>
        </x14:dataValidation>
        <x14:dataValidation type="list" allowBlank="1" showInputMessage="1" showErrorMessage="1" xr:uid="{A283FF35-491F-41A9-8CE5-345AE2F852F8}">
          <x14:formula1>
            <xm:f>'Key Values'!$B$209:$B$217</xm:f>
          </x14:formula1>
          <xm:sqref>I70:I72</xm:sqref>
        </x14:dataValidation>
        <x14:dataValidation type="list" operator="greaterThan" allowBlank="1" showInputMessage="1" showErrorMessage="1" xr:uid="{6463A953-DF90-4FFF-9F30-E192278B4E4C}">
          <x14:formula1>
            <xm:f>'Key Values'!$B$197:$B$204</xm:f>
          </x14:formula1>
          <xm:sqref>J70:J72 H166:H168</xm:sqref>
        </x14:dataValidation>
        <x14:dataValidation type="list" allowBlank="1" showInputMessage="1" showErrorMessage="1" xr:uid="{62FEFDF5-9108-4E6A-9A05-B09A41D66205}">
          <x14:formula1>
            <xm:f>IF(E96="Solid Fuel", 'Key Values'!$B$41:$B$58,IF(E96="Gaseous Fuel",'Key Values'!$B$72:$B$85,'Key Values'!$B$101:$B$120))</xm:f>
          </x14:formula1>
          <xm:sqref>F96:F100</xm:sqref>
        </x14:dataValidation>
        <x14:dataValidation type="list" allowBlank="1" showInputMessage="1" showErrorMessage="1" prompt="Cell will appear red if incompatible unit is selected" xr:uid="{7DE7EAC9-0782-4D47-BA55-8421643F09D6}">
          <x14:formula1>
            <xm:f>IF(OR(AND(E96="Liquid Fuel", _xlfn.IFNA(VLOOKUP(F96,'Key Values'!$B$101:$H$120,3,FALSE)="GJ/t", FALSE) ),E96="Solid Fuel"),'Key Values'!$B$291:$B$292, 'Key Values'!$B$296:$B$298)</xm:f>
          </x14:formula1>
          <xm:sqref>H96:H100</xm:sqref>
        </x14:dataValidation>
        <x14:dataValidation type="list" allowBlank="1" showInputMessage="1" showErrorMessage="1" xr:uid="{B1B5174F-FEFC-43FE-A4D1-8812824A44D5}">
          <x14:formula1>
            <xm:f>'Key Values'!B$291:B$292</xm:f>
          </x14:formula1>
          <xm:sqref>H149:H152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D341-69A9-4F7E-BD9E-59A255D307D6}">
  <sheetPr codeName="Sheet10">
    <tabColor theme="7" tint="0.39997558519241921"/>
  </sheetPr>
  <dimension ref="A1:AR430"/>
  <sheetViews>
    <sheetView showGridLines="0" zoomScaleNormal="100" workbookViewId="0">
      <pane xSplit="4" ySplit="6" topLeftCell="E60" activePane="bottomRight" state="frozen"/>
      <selection pane="topRight" activeCell="E1" sqref="E1"/>
      <selection pane="bottomLeft" activeCell="A7" sqref="A7"/>
      <selection pane="bottomRight" activeCell="E78" sqref="E78"/>
    </sheetView>
  </sheetViews>
  <sheetFormatPr defaultColWidth="0" defaultRowHeight="15.5" zeroHeight="1" x14ac:dyDescent="0.25"/>
  <cols>
    <col min="1" max="1" width="3.453125" style="1069" customWidth="1"/>
    <col min="2" max="2" width="3.54296875" style="1069" customWidth="1"/>
    <col min="3" max="3" width="44.81640625" style="1069" customWidth="1"/>
    <col min="4" max="4" width="4.54296875" style="1069" customWidth="1"/>
    <col min="5" max="11" width="40.54296875" style="1069" customWidth="1"/>
    <col min="12" max="13" width="11.81640625" style="1069" customWidth="1"/>
    <col min="14" max="14" width="24.1796875" style="1069" customWidth="1"/>
    <col min="15" max="15" width="29.453125" style="1069" customWidth="1"/>
    <col min="16" max="16" width="5.81640625" style="1069" customWidth="1"/>
    <col min="17" max="17" width="8.54296875" style="1069" customWidth="1"/>
    <col min="18" max="18" width="3.26953125" style="1069" customWidth="1"/>
    <col min="19" max="19" width="15.54296875" style="1069" hidden="1" customWidth="1"/>
    <col min="20" max="24" width="8.54296875" style="1069" hidden="1" customWidth="1"/>
    <col min="25" max="29" width="50.54296875" style="1579" hidden="1" customWidth="1"/>
    <col min="30" max="30" width="26.453125" style="1579" hidden="1" customWidth="1"/>
    <col min="31" max="31" width="21.1796875" style="1579" hidden="1" customWidth="1"/>
    <col min="32" max="32" width="21.453125" style="1579" hidden="1" customWidth="1"/>
    <col min="33" max="33" width="16.453125" style="1579" hidden="1" customWidth="1"/>
    <col min="34" max="34" width="26.453125" style="1579" hidden="1" customWidth="1"/>
    <col min="35" max="35" width="22.453125" style="1579" hidden="1" customWidth="1"/>
    <col min="36" max="36" width="21.54296875" style="1579" hidden="1" customWidth="1"/>
    <col min="37" max="37" width="24.453125" style="1579" hidden="1" customWidth="1"/>
    <col min="38" max="39" width="8.54296875" style="1579" hidden="1" customWidth="1"/>
    <col min="40" max="44" width="0" style="1069" hidden="1" customWidth="1"/>
    <col min="45" max="16384" width="8.54296875" style="1069" hidden="1"/>
  </cols>
  <sheetData>
    <row r="1" spans="2:33" ht="18" customHeight="1" x14ac:dyDescent="0.25"/>
    <row r="2" spans="2:33" ht="101.5" customHeight="1" x14ac:dyDescent="0.25">
      <c r="B2" s="1316"/>
    </row>
    <row r="3" spans="2:33" ht="42" customHeight="1" x14ac:dyDescent="0.25">
      <c r="B3" s="1884" t="s">
        <v>175</v>
      </c>
      <c r="C3" s="1884"/>
      <c r="D3" s="1884"/>
      <c r="E3" s="1884"/>
      <c r="F3" s="1884"/>
      <c r="G3" s="1884"/>
      <c r="H3" s="1884"/>
      <c r="I3" s="1884"/>
      <c r="J3" s="1884"/>
      <c r="K3" s="1884"/>
      <c r="L3" s="1884"/>
      <c r="M3" s="1884"/>
      <c r="N3" s="1884"/>
      <c r="O3" s="1884"/>
      <c r="P3" s="1884"/>
      <c r="Q3" s="1884"/>
    </row>
    <row r="4" spans="2:33" ht="15.65" customHeight="1" x14ac:dyDescent="0.25">
      <c r="B4" s="1070"/>
      <c r="C4" s="1070"/>
      <c r="D4" s="1070"/>
      <c r="E4" s="1070"/>
      <c r="F4" s="1070"/>
      <c r="G4" s="1070"/>
      <c r="H4" s="1070"/>
      <c r="I4" s="1070"/>
      <c r="J4" s="1070"/>
      <c r="K4" s="1070"/>
      <c r="L4" s="1070"/>
      <c r="M4" s="1070"/>
      <c r="N4" s="1070"/>
      <c r="O4" s="1070"/>
      <c r="P4" s="1070"/>
      <c r="Q4" s="1070"/>
      <c r="Y4" s="1722"/>
      <c r="Z4" s="1723"/>
      <c r="AA4" s="1723"/>
      <c r="AB4" s="1723"/>
      <c r="AC4" s="1723"/>
      <c r="AD4" s="1723"/>
      <c r="AE4" s="1723"/>
      <c r="AF4" s="1723"/>
      <c r="AG4" s="1724"/>
    </row>
    <row r="5" spans="2:33" ht="15.65" customHeight="1" x14ac:dyDescent="0.25">
      <c r="B5" s="1070"/>
      <c r="C5" s="1074" t="s">
        <v>576</v>
      </c>
      <c r="D5" s="1070"/>
      <c r="E5" s="1070"/>
      <c r="F5" s="1070"/>
      <c r="G5" s="1070"/>
      <c r="H5" s="1070"/>
      <c r="I5" s="1070"/>
      <c r="J5" s="1070"/>
      <c r="K5" s="1070"/>
      <c r="L5" s="1070"/>
      <c r="M5" s="1070"/>
      <c r="N5" s="1070"/>
      <c r="O5" s="1070"/>
      <c r="P5" s="1070"/>
      <c r="Q5" s="1070"/>
      <c r="Y5" s="1725" t="s">
        <v>72</v>
      </c>
      <c r="Z5" s="1726"/>
      <c r="AA5" s="1726"/>
      <c r="AB5" s="1726"/>
      <c r="AC5" s="1726"/>
      <c r="AD5" s="1726"/>
      <c r="AE5" s="1726"/>
      <c r="AF5" s="1726"/>
      <c r="AG5" s="1727"/>
    </row>
    <row r="6" spans="2:33" ht="15.65" customHeight="1" x14ac:dyDescent="0.25">
      <c r="B6" s="1070"/>
      <c r="C6" s="1070"/>
      <c r="D6" s="1070"/>
      <c r="E6" s="1070"/>
      <c r="F6" s="1070"/>
      <c r="G6" s="1070"/>
      <c r="H6" s="1070"/>
      <c r="I6" s="1070"/>
      <c r="J6" s="1070"/>
      <c r="K6" s="1070"/>
      <c r="L6" s="1070"/>
      <c r="M6" s="1070"/>
      <c r="N6" s="1070"/>
      <c r="O6" s="1070"/>
      <c r="P6" s="1070"/>
      <c r="Q6" s="1070"/>
      <c r="Y6" s="1728"/>
      <c r="Z6" s="1726"/>
      <c r="AA6" s="1726"/>
      <c r="AB6" s="1726"/>
      <c r="AC6" s="1726"/>
      <c r="AD6" s="1726"/>
      <c r="AE6" s="1726"/>
      <c r="AF6" s="1726"/>
      <c r="AG6" s="1727"/>
    </row>
    <row r="7" spans="2:33" ht="15.65" customHeight="1" x14ac:dyDescent="0.25">
      <c r="Y7" s="1625"/>
      <c r="Z7" s="1584"/>
      <c r="AA7" s="1584"/>
      <c r="AB7" s="1584"/>
      <c r="AC7" s="1584"/>
      <c r="AD7" s="1584"/>
      <c r="AE7" s="1584"/>
      <c r="AF7" s="1584"/>
      <c r="AG7" s="1585"/>
    </row>
    <row r="8" spans="2:33" ht="15.65" customHeight="1" x14ac:dyDescent="0.25">
      <c r="B8" s="1081"/>
      <c r="C8" s="1082"/>
      <c r="D8" s="1082"/>
      <c r="E8" s="1082"/>
      <c r="F8" s="1082"/>
      <c r="G8" s="1082"/>
      <c r="H8" s="1082"/>
      <c r="I8" s="1082"/>
      <c r="J8" s="1082"/>
      <c r="K8" s="1082"/>
      <c r="L8" s="1082"/>
      <c r="M8" s="1082"/>
      <c r="N8" s="1082"/>
      <c r="O8" s="1082"/>
      <c r="P8" s="1082"/>
      <c r="Q8" s="1083"/>
      <c r="Y8" s="1625"/>
      <c r="Z8" s="1584"/>
      <c r="AA8" s="1584"/>
      <c r="AB8" s="1584"/>
      <c r="AC8" s="1584"/>
      <c r="AD8" s="1584"/>
      <c r="AE8" s="1584"/>
      <c r="AF8" s="1584"/>
      <c r="AG8" s="1585"/>
    </row>
    <row r="9" spans="2:33" ht="15.65" customHeight="1" x14ac:dyDescent="0.25">
      <c r="B9" s="1084"/>
      <c r="C9" s="1085" t="s">
        <v>1314</v>
      </c>
      <c r="D9" s="1086"/>
      <c r="E9" s="1086"/>
      <c r="F9" s="1086"/>
      <c r="G9" s="1086"/>
      <c r="H9" s="1086"/>
      <c r="I9" s="1086"/>
      <c r="J9" s="1086"/>
      <c r="K9" s="1086"/>
      <c r="L9" s="1086"/>
      <c r="M9" s="1086"/>
      <c r="N9" s="1086"/>
      <c r="O9" s="1086"/>
      <c r="P9" s="1086"/>
      <c r="Q9" s="1087"/>
      <c r="Y9" s="1623"/>
      <c r="Z9" s="1584"/>
      <c r="AA9" s="1584"/>
      <c r="AB9" s="1584"/>
      <c r="AC9" s="1584"/>
      <c r="AD9" s="1584"/>
      <c r="AE9" s="1584"/>
      <c r="AF9" s="1584"/>
      <c r="AG9" s="1585"/>
    </row>
    <row r="10" spans="2:33" ht="15.65" customHeight="1" x14ac:dyDescent="0.25">
      <c r="B10" s="1089"/>
      <c r="C10" s="1090"/>
      <c r="D10" s="1090"/>
      <c r="E10" s="1091" t="s">
        <v>177</v>
      </c>
      <c r="F10" s="1091"/>
      <c r="G10" s="1090"/>
      <c r="H10" s="1092"/>
      <c r="I10" s="1092"/>
      <c r="J10" s="1093"/>
      <c r="K10" s="1090"/>
      <c r="L10" s="1090"/>
      <c r="M10" s="1090"/>
      <c r="N10" s="1090"/>
      <c r="O10" s="1090"/>
      <c r="P10" s="1090"/>
      <c r="Q10" s="1094"/>
      <c r="Y10" s="1623"/>
      <c r="Z10" s="1584"/>
      <c r="AA10" s="1584"/>
      <c r="AB10" s="1584"/>
      <c r="AC10" s="1584"/>
      <c r="AD10" s="1584"/>
      <c r="AE10" s="1584"/>
      <c r="AF10" s="1584"/>
      <c r="AG10" s="1585"/>
    </row>
    <row r="11" spans="2:33" ht="15.65" customHeight="1" x14ac:dyDescent="0.25">
      <c r="B11" s="1095"/>
      <c r="C11" s="1096"/>
      <c r="D11" s="1096"/>
      <c r="E11" s="1096"/>
      <c r="F11" s="1096"/>
      <c r="G11" s="1096"/>
      <c r="H11" s="1098"/>
      <c r="I11" s="1098"/>
      <c r="J11" s="1096"/>
      <c r="K11" s="1096"/>
      <c r="L11" s="1096"/>
      <c r="M11" s="1096"/>
      <c r="N11" s="1096"/>
      <c r="O11" s="1096"/>
      <c r="P11" s="1096"/>
      <c r="Q11" s="1099"/>
      <c r="Y11" s="1623"/>
      <c r="Z11" s="1584"/>
      <c r="AA11" s="1584"/>
      <c r="AB11" s="1584"/>
      <c r="AC11" s="1584"/>
      <c r="AD11" s="1584"/>
      <c r="AE11" s="1584"/>
      <c r="AF11" s="1584"/>
      <c r="AG11" s="1585"/>
    </row>
    <row r="12" spans="2:33" ht="15.65" customHeight="1" x14ac:dyDescent="0.25">
      <c r="B12" s="1095"/>
      <c r="C12" s="1096" t="s">
        <v>577</v>
      </c>
      <c r="D12" s="1096"/>
      <c r="E12" s="437"/>
      <c r="F12" s="1321"/>
      <c r="G12" s="1096"/>
      <c r="H12" s="1098"/>
      <c r="I12" s="1098"/>
      <c r="J12" s="1101"/>
      <c r="K12" s="1096"/>
      <c r="L12" s="1096"/>
      <c r="M12" s="1096"/>
      <c r="N12" s="1096"/>
      <c r="O12" s="1096"/>
      <c r="P12" s="1096"/>
      <c r="Q12" s="1099"/>
      <c r="Y12" s="1623"/>
      <c r="Z12" s="1583"/>
      <c r="AA12" s="1584"/>
      <c r="AB12" s="1584"/>
      <c r="AC12" s="1584"/>
      <c r="AD12" s="1584"/>
      <c r="AE12" s="1584"/>
      <c r="AF12" s="1584"/>
      <c r="AG12" s="1585"/>
    </row>
    <row r="13" spans="2:33" ht="15.65" customHeight="1" x14ac:dyDescent="0.25">
      <c r="B13" s="1095"/>
      <c r="C13" s="1096" t="s">
        <v>441</v>
      </c>
      <c r="D13" s="1096"/>
      <c r="E13" s="420"/>
      <c r="F13" s="1100"/>
      <c r="G13" s="1096"/>
      <c r="H13" s="1098"/>
      <c r="I13" s="1098"/>
      <c r="J13" s="1101"/>
      <c r="K13" s="1096"/>
      <c r="L13" s="1096"/>
      <c r="M13" s="1096"/>
      <c r="N13" s="1096"/>
      <c r="O13" s="1096"/>
      <c r="P13" s="1096"/>
      <c r="Q13" s="1099"/>
      <c r="Y13" s="1623"/>
      <c r="Z13" s="1583"/>
      <c r="AA13" s="1584"/>
      <c r="AB13" s="1584"/>
      <c r="AC13" s="1584"/>
      <c r="AD13" s="1584"/>
      <c r="AE13" s="1584"/>
      <c r="AF13" s="1584"/>
      <c r="AG13" s="1585"/>
    </row>
    <row r="14" spans="2:33" ht="15.65" customHeight="1" x14ac:dyDescent="0.25">
      <c r="B14" s="1095"/>
      <c r="C14" s="1096" t="s">
        <v>499</v>
      </c>
      <c r="D14" s="1096"/>
      <c r="E14" s="420"/>
      <c r="F14" s="1100"/>
      <c r="G14" s="1096"/>
      <c r="H14" s="1098"/>
      <c r="I14" s="1098"/>
      <c r="J14" s="1101"/>
      <c r="K14" s="1096"/>
      <c r="L14" s="1096"/>
      <c r="M14" s="1096"/>
      <c r="N14" s="1096"/>
      <c r="O14" s="1096"/>
      <c r="P14" s="1096"/>
      <c r="Q14" s="1099"/>
      <c r="Y14" s="1623"/>
      <c r="Z14" s="1583"/>
      <c r="AA14" s="1584"/>
      <c r="AB14" s="1584"/>
      <c r="AC14" s="1584"/>
      <c r="AD14" s="1584"/>
      <c r="AE14" s="1584"/>
      <c r="AF14" s="1584"/>
      <c r="AG14" s="1585"/>
    </row>
    <row r="15" spans="2:33" ht="15.65" customHeight="1" x14ac:dyDescent="0.25">
      <c r="B15" s="1095"/>
      <c r="C15" s="1096" t="s">
        <v>443</v>
      </c>
      <c r="D15" s="1096"/>
      <c r="E15" s="420"/>
      <c r="F15" s="1100"/>
      <c r="G15" s="1096"/>
      <c r="H15" s="1098"/>
      <c r="I15" s="1098"/>
      <c r="J15" s="1101"/>
      <c r="K15" s="1096"/>
      <c r="L15" s="1096"/>
      <c r="M15" s="1096"/>
      <c r="N15" s="1096"/>
      <c r="O15" s="1096"/>
      <c r="P15" s="1096"/>
      <c r="Q15" s="1099"/>
      <c r="Y15" s="1623"/>
      <c r="Z15" s="1583"/>
      <c r="AA15" s="1584"/>
      <c r="AB15" s="1584"/>
      <c r="AC15" s="1584"/>
      <c r="AD15" s="1584"/>
      <c r="AE15" s="1584"/>
      <c r="AF15" s="1584"/>
      <c r="AG15" s="1585"/>
    </row>
    <row r="16" spans="2:33" ht="15.65" customHeight="1" x14ac:dyDescent="0.25">
      <c r="B16" s="1095"/>
      <c r="C16" s="1096" t="s">
        <v>444</v>
      </c>
      <c r="D16" s="1096"/>
      <c r="E16" s="521"/>
      <c r="F16" s="1100"/>
      <c r="G16" s="1096"/>
      <c r="H16" s="1098"/>
      <c r="I16" s="1098"/>
      <c r="J16" s="1101"/>
      <c r="K16" s="1096"/>
      <c r="L16" s="1096"/>
      <c r="M16" s="1096"/>
      <c r="N16" s="1096"/>
      <c r="O16" s="1096"/>
      <c r="P16" s="1096"/>
      <c r="Q16" s="1099"/>
      <c r="Y16" s="1729" t="s">
        <v>181</v>
      </c>
      <c r="Z16" s="1583"/>
      <c r="AA16" s="1584"/>
      <c r="AB16" s="1584"/>
      <c r="AC16" s="1584"/>
      <c r="AD16" s="1584"/>
      <c r="AE16" s="1584"/>
      <c r="AF16" s="1584"/>
      <c r="AG16" s="1585"/>
    </row>
    <row r="17" spans="2:39" customFormat="1" x14ac:dyDescent="0.25">
      <c r="B17" s="1095"/>
      <c r="C17" s="1096" t="s">
        <v>182</v>
      </c>
      <c r="D17" s="1096"/>
      <c r="E17" s="997"/>
      <c r="F17" s="948"/>
      <c r="G17" s="1096"/>
      <c r="H17" s="1098"/>
      <c r="I17" s="1098"/>
      <c r="J17" s="1104"/>
      <c r="K17" s="1096"/>
      <c r="L17" s="1096"/>
      <c r="M17" s="1096"/>
      <c r="N17" s="1096"/>
      <c r="O17" s="1096"/>
      <c r="P17" s="1096"/>
      <c r="Q17" s="1099"/>
      <c r="Y17" s="1730" t="e">
        <f>gasification_annual_capacity*VLOOKUP(F17,massConv[],2,FALSE)</f>
        <v>#N/A</v>
      </c>
      <c r="Z17" s="1586"/>
      <c r="AA17" s="1586"/>
      <c r="AB17" s="1586"/>
      <c r="AC17" s="1586"/>
      <c r="AD17" s="1586"/>
      <c r="AE17" s="1586"/>
      <c r="AF17" s="1586"/>
      <c r="AG17" s="1626"/>
      <c r="AH17" s="1586"/>
      <c r="AI17" s="1586"/>
      <c r="AJ17" s="1586"/>
      <c r="AK17" s="1586"/>
      <c r="AL17" s="1586"/>
      <c r="AM17" s="1586"/>
    </row>
    <row r="18" spans="2:39" ht="15.65" customHeight="1" x14ac:dyDescent="0.25">
      <c r="B18" s="1105"/>
      <c r="C18" s="1106"/>
      <c r="D18" s="1106"/>
      <c r="E18" s="1106"/>
      <c r="F18" s="1106"/>
      <c r="G18" s="1106"/>
      <c r="H18" s="1106"/>
      <c r="I18" s="1106"/>
      <c r="J18" s="1106"/>
      <c r="K18" s="1106"/>
      <c r="L18" s="1106"/>
      <c r="M18" s="1106"/>
      <c r="N18" s="1106"/>
      <c r="O18" s="1106"/>
      <c r="P18" s="1106"/>
      <c r="Q18" s="1107"/>
      <c r="Y18" s="1623"/>
      <c r="Z18" s="1584"/>
      <c r="AA18" s="1584"/>
      <c r="AB18" s="1584"/>
      <c r="AC18" s="1584"/>
      <c r="AD18" s="1584"/>
      <c r="AE18" s="1584"/>
      <c r="AF18" s="1584"/>
      <c r="AG18" s="1585"/>
    </row>
    <row r="19" spans="2:39" customFormat="1" ht="12.5" x14ac:dyDescent="0.25">
      <c r="B19" s="1108"/>
      <c r="C19" s="1108"/>
      <c r="D19" s="1108"/>
      <c r="E19" s="1108"/>
      <c r="F19" s="1108"/>
      <c r="G19" s="1108"/>
      <c r="H19" s="1108"/>
      <c r="I19" s="1108"/>
      <c r="J19" s="1108"/>
      <c r="K19" s="1108"/>
      <c r="L19" s="1108"/>
      <c r="M19" s="1108"/>
      <c r="N19" s="1108"/>
      <c r="O19" s="1108"/>
      <c r="P19" s="1108"/>
      <c r="Q19" s="1108"/>
      <c r="Y19" s="1625"/>
      <c r="Z19" s="1586"/>
      <c r="AA19" s="1586"/>
      <c r="AB19" s="1586"/>
      <c r="AC19" s="1586"/>
      <c r="AD19" s="1586"/>
      <c r="AE19" s="1586"/>
      <c r="AF19" s="1586"/>
      <c r="AG19" s="1626"/>
      <c r="AH19" s="1586"/>
      <c r="AI19" s="1586"/>
      <c r="AJ19" s="1586"/>
      <c r="AK19" s="1586"/>
      <c r="AL19" s="1586"/>
      <c r="AM19" s="1586"/>
    </row>
    <row r="20" spans="2:39" customFormat="1" ht="12.5" x14ac:dyDescent="0.25">
      <c r="B20" s="1081"/>
      <c r="C20" s="1082"/>
      <c r="D20" s="1082"/>
      <c r="E20" s="1082"/>
      <c r="F20" s="1082"/>
      <c r="G20" s="1082"/>
      <c r="H20" s="1082"/>
      <c r="I20" s="1082"/>
      <c r="J20" s="1082"/>
      <c r="K20" s="1082"/>
      <c r="L20" s="1082"/>
      <c r="M20" s="1082"/>
      <c r="N20" s="1082"/>
      <c r="O20" s="1082"/>
      <c r="P20" s="1082"/>
      <c r="Q20" s="1083"/>
      <c r="Y20" s="1625"/>
      <c r="Z20" s="1586"/>
      <c r="AA20" s="1586"/>
      <c r="AB20" s="1586"/>
      <c r="AC20" s="1586"/>
      <c r="AD20" s="1586"/>
      <c r="AE20" s="1586"/>
      <c r="AF20" s="1586"/>
      <c r="AG20" s="1626"/>
      <c r="AH20" s="1586"/>
      <c r="AI20" s="1586"/>
      <c r="AJ20" s="1586"/>
      <c r="AK20" s="1586"/>
      <c r="AL20" s="1586"/>
      <c r="AM20" s="1586"/>
    </row>
    <row r="21" spans="2:39" customFormat="1" x14ac:dyDescent="0.25">
      <c r="B21" s="1084"/>
      <c r="C21" s="1109" t="s">
        <v>48</v>
      </c>
      <c r="D21" s="1086"/>
      <c r="E21" s="1110"/>
      <c r="F21" s="1110"/>
      <c r="G21" s="1086"/>
      <c r="H21" s="1086"/>
      <c r="I21" s="1086"/>
      <c r="J21" s="1086"/>
      <c r="K21" s="1086"/>
      <c r="L21" s="1086"/>
      <c r="M21" s="1086"/>
      <c r="N21" s="1086"/>
      <c r="O21" s="1086"/>
      <c r="P21" s="1086"/>
      <c r="Q21" s="1087"/>
      <c r="Y21" s="1625"/>
      <c r="Z21" s="1586"/>
      <c r="AA21" s="1586"/>
      <c r="AB21" s="1586"/>
      <c r="AC21" s="1586"/>
      <c r="AD21" s="1586"/>
      <c r="AE21" s="1586"/>
      <c r="AF21" s="1586"/>
      <c r="AG21" s="1626"/>
      <c r="AH21" s="1586"/>
      <c r="AI21" s="1586"/>
      <c r="AJ21" s="1586"/>
      <c r="AK21" s="1586"/>
      <c r="AL21" s="1586"/>
      <c r="AM21" s="1586"/>
    </row>
    <row r="22" spans="2:39" customFormat="1" x14ac:dyDescent="0.25">
      <c r="B22" s="1089"/>
      <c r="C22" s="1090"/>
      <c r="D22" s="1090"/>
      <c r="E22" s="1091" t="s">
        <v>31</v>
      </c>
      <c r="F22" s="1091" t="s">
        <v>184</v>
      </c>
      <c r="G22" s="1093"/>
      <c r="H22" s="1111"/>
      <c r="I22" s="1111"/>
      <c r="J22" s="1093"/>
      <c r="K22" s="1093"/>
      <c r="L22" s="1093"/>
      <c r="M22" s="1093"/>
      <c r="N22" s="1093"/>
      <c r="O22" s="1091"/>
      <c r="P22" s="1093"/>
      <c r="Q22" s="1112"/>
      <c r="Y22" s="1625"/>
      <c r="Z22" s="1586"/>
      <c r="AA22" s="1586"/>
      <c r="AB22" s="1586"/>
      <c r="AC22" s="1586"/>
      <c r="AD22" s="1586"/>
      <c r="AE22" s="1586"/>
      <c r="AF22" s="1586"/>
      <c r="AG22" s="1626"/>
      <c r="AH22" s="1586"/>
      <c r="AI22" s="1586"/>
      <c r="AJ22" s="1586"/>
      <c r="AK22" s="1586"/>
      <c r="AL22" s="1586"/>
      <c r="AM22" s="1586"/>
    </row>
    <row r="23" spans="2:39" customFormat="1" x14ac:dyDescent="0.25">
      <c r="B23" s="1095"/>
      <c r="C23" s="1096"/>
      <c r="D23" s="1096"/>
      <c r="E23" s="1096"/>
      <c r="F23" s="1096"/>
      <c r="G23" s="1096"/>
      <c r="H23" s="1098"/>
      <c r="I23" s="1098"/>
      <c r="J23" s="1096"/>
      <c r="K23" s="1096"/>
      <c r="L23" s="1096"/>
      <c r="M23" s="1096"/>
      <c r="N23" s="1096"/>
      <c r="O23" s="1096"/>
      <c r="P23" s="1096"/>
      <c r="Q23" s="1099"/>
      <c r="Y23" s="1729" t="s">
        <v>185</v>
      </c>
      <c r="Z23" s="1586"/>
      <c r="AA23" s="1586"/>
      <c r="AB23" s="1586"/>
      <c r="AC23" s="1586"/>
      <c r="AD23" s="1586"/>
      <c r="AE23" s="1586"/>
      <c r="AF23" s="1586"/>
      <c r="AG23" s="1626"/>
      <c r="AH23" s="1586"/>
      <c r="AI23" s="1586"/>
      <c r="AJ23" s="1586"/>
      <c r="AK23" s="1586"/>
      <c r="AL23" s="1586"/>
      <c r="AM23" s="1586"/>
    </row>
    <row r="24" spans="2:39" customFormat="1" x14ac:dyDescent="0.25">
      <c r="B24" s="1095"/>
      <c r="C24" s="1113" t="s">
        <v>186</v>
      </c>
      <c r="D24" s="1096"/>
      <c r="E24" s="481"/>
      <c r="F24" s="531"/>
      <c r="G24" s="1096"/>
      <c r="H24" s="1098"/>
      <c r="I24" s="1098"/>
      <c r="J24" s="1096"/>
      <c r="K24" s="1096"/>
      <c r="L24" s="1096"/>
      <c r="M24" s="1096"/>
      <c r="N24" s="1113"/>
      <c r="O24" s="1113"/>
      <c r="P24" s="1113"/>
      <c r="Q24" s="1099"/>
      <c r="Y24" s="1681" t="e">
        <f>E24*VLOOKUP(F24,massConv[#All],2,FALSE)</f>
        <v>#N/A</v>
      </c>
      <c r="Z24" s="1586"/>
      <c r="AA24" s="1586"/>
      <c r="AB24" s="1586"/>
      <c r="AC24" s="1586"/>
      <c r="AD24" s="1586"/>
      <c r="AE24" s="1586"/>
      <c r="AF24" s="1586"/>
      <c r="AG24" s="1626"/>
      <c r="AH24" s="1586"/>
      <c r="AI24" s="1586"/>
      <c r="AJ24" s="1586"/>
      <c r="AK24" s="1586"/>
      <c r="AL24" s="1586"/>
      <c r="AM24" s="1586"/>
    </row>
    <row r="25" spans="2:39" customFormat="1" x14ac:dyDescent="0.25">
      <c r="B25" s="1095"/>
      <c r="C25" s="1113" t="s">
        <v>578</v>
      </c>
      <c r="D25" s="1096"/>
      <c r="E25" s="483"/>
      <c r="F25" s="1096"/>
      <c r="G25" s="1096"/>
      <c r="H25" s="1098"/>
      <c r="I25" s="1098"/>
      <c r="J25" s="1096"/>
      <c r="K25" s="1096"/>
      <c r="L25" s="1096"/>
      <c r="M25" s="1096"/>
      <c r="N25" s="1113"/>
      <c r="O25" s="1113"/>
      <c r="P25" s="1113"/>
      <c r="Q25" s="1099"/>
      <c r="Y25" s="1625"/>
      <c r="Z25" s="1586"/>
      <c r="AA25" s="1586"/>
      <c r="AB25" s="1586"/>
      <c r="AC25" s="1586"/>
      <c r="AD25" s="1586"/>
      <c r="AE25" s="1586"/>
      <c r="AF25" s="1586"/>
      <c r="AG25" s="1626"/>
      <c r="AH25" s="1586"/>
      <c r="AI25" s="1586"/>
      <c r="AJ25" s="1586"/>
      <c r="AK25" s="1586"/>
      <c r="AL25" s="1586"/>
      <c r="AM25" s="1586"/>
    </row>
    <row r="26" spans="2:39" customFormat="1" x14ac:dyDescent="0.25">
      <c r="B26" s="1095"/>
      <c r="C26" s="1101" t="s">
        <v>188</v>
      </c>
      <c r="D26" s="1096"/>
      <c r="E26" s="1529"/>
      <c r="F26" s="1113"/>
      <c r="G26" s="1096"/>
      <c r="H26" s="1098"/>
      <c r="I26" s="1098"/>
      <c r="J26" s="1096"/>
      <c r="K26" s="1096"/>
      <c r="L26" s="1096"/>
      <c r="M26" s="1096"/>
      <c r="N26" s="1113"/>
      <c r="O26" s="1113"/>
      <c r="P26" s="1113"/>
      <c r="Q26" s="1099"/>
      <c r="Y26" s="1625"/>
      <c r="Z26" s="1586"/>
      <c r="AA26" s="1586"/>
      <c r="AB26" s="1586"/>
      <c r="AC26" s="1586"/>
      <c r="AD26" s="1586"/>
      <c r="AE26" s="1586"/>
      <c r="AF26" s="1586"/>
      <c r="AG26" s="1626"/>
      <c r="AH26" s="1586"/>
      <c r="AI26" s="1586"/>
      <c r="AJ26" s="1586"/>
      <c r="AK26" s="1586"/>
      <c r="AL26" s="1586"/>
      <c r="AM26" s="1586"/>
    </row>
    <row r="27" spans="2:39" customFormat="1" x14ac:dyDescent="0.25">
      <c r="B27" s="1095"/>
      <c r="C27" s="1101" t="s">
        <v>190</v>
      </c>
      <c r="D27" s="1096"/>
      <c r="E27" s="347"/>
      <c r="F27" s="1113"/>
      <c r="G27" s="1096"/>
      <c r="H27" s="1098"/>
      <c r="I27" s="1098"/>
      <c r="J27" s="1096"/>
      <c r="K27" s="1096"/>
      <c r="L27" s="1096"/>
      <c r="M27" s="1096"/>
      <c r="N27" s="1113"/>
      <c r="O27" s="1113"/>
      <c r="P27" s="1113"/>
      <c r="Q27" s="1099"/>
      <c r="Y27" s="1625"/>
      <c r="Z27" s="1586"/>
      <c r="AA27" s="1586"/>
      <c r="AB27" s="1586"/>
      <c r="AC27" s="1586"/>
      <c r="AD27" s="1586"/>
      <c r="AE27" s="1586"/>
      <c r="AF27" s="1586"/>
      <c r="AG27" s="1626"/>
      <c r="AH27" s="1586"/>
      <c r="AI27" s="1586"/>
      <c r="AJ27" s="1586"/>
      <c r="AK27" s="1586"/>
      <c r="AL27" s="1586"/>
      <c r="AM27" s="1586"/>
    </row>
    <row r="28" spans="2:39" customFormat="1" x14ac:dyDescent="0.25">
      <c r="B28" s="1105"/>
      <c r="C28" s="1115"/>
      <c r="D28" s="1106"/>
      <c r="E28" s="1106"/>
      <c r="F28" s="1106"/>
      <c r="G28" s="1106"/>
      <c r="H28" s="1115"/>
      <c r="I28" s="1115"/>
      <c r="J28" s="1106"/>
      <c r="K28" s="1106"/>
      <c r="L28" s="1106"/>
      <c r="M28" s="1106"/>
      <c r="N28" s="1116"/>
      <c r="O28" s="1117"/>
      <c r="P28" s="1117"/>
      <c r="Q28" s="1107"/>
      <c r="Y28" s="1625"/>
      <c r="Z28" s="1586"/>
      <c r="AA28" s="1586"/>
      <c r="AB28" s="1586"/>
      <c r="AC28" s="1586"/>
      <c r="AD28" s="1586"/>
      <c r="AE28" s="1586"/>
      <c r="AF28" s="1586"/>
      <c r="AG28" s="1626"/>
      <c r="AH28" s="1586"/>
      <c r="AI28" s="1586"/>
      <c r="AJ28" s="1586"/>
      <c r="AK28" s="1586"/>
      <c r="AL28" s="1586"/>
      <c r="AM28" s="1586"/>
    </row>
    <row r="29" spans="2:39" ht="15.65" customHeight="1" x14ac:dyDescent="0.25">
      <c r="B29" s="1118"/>
      <c r="C29" s="1118"/>
      <c r="D29" s="1118"/>
      <c r="E29" s="1118"/>
      <c r="F29" s="1118"/>
      <c r="G29" s="1118"/>
      <c r="H29" s="1118"/>
      <c r="I29" s="1118"/>
      <c r="J29" s="1118"/>
      <c r="K29" s="1118"/>
      <c r="L29" s="1118"/>
      <c r="M29" s="1118"/>
      <c r="N29" s="1118"/>
      <c r="O29" s="1118"/>
      <c r="P29" s="1118"/>
      <c r="Q29" s="1118"/>
      <c r="Y29" s="1623"/>
      <c r="Z29" s="1584"/>
      <c r="AA29" s="1584"/>
      <c r="AB29" s="1584"/>
      <c r="AC29" s="1584"/>
      <c r="AD29" s="1584"/>
      <c r="AE29" s="1584"/>
      <c r="AF29" s="1584"/>
      <c r="AG29" s="1585"/>
    </row>
    <row r="30" spans="2:39" ht="15.65" customHeight="1" x14ac:dyDescent="0.25">
      <c r="B30" s="1081"/>
      <c r="C30" s="1082"/>
      <c r="D30" s="1082"/>
      <c r="E30" s="1082"/>
      <c r="F30" s="1082"/>
      <c r="G30" s="1082"/>
      <c r="H30" s="1082"/>
      <c r="I30" s="1082"/>
      <c r="J30" s="1082"/>
      <c r="K30" s="1082"/>
      <c r="L30" s="1082"/>
      <c r="M30" s="1082"/>
      <c r="N30" s="1082"/>
      <c r="O30" s="1082"/>
      <c r="P30" s="1082"/>
      <c r="Q30" s="1083"/>
      <c r="Y30" s="1623"/>
      <c r="Z30" s="1584"/>
      <c r="AA30" s="1584"/>
      <c r="AB30" s="1584"/>
      <c r="AC30" s="1584"/>
      <c r="AD30" s="1584"/>
      <c r="AE30" s="1584"/>
      <c r="AF30" s="1584"/>
      <c r="AG30" s="1585"/>
    </row>
    <row r="31" spans="2:39" ht="15.65" customHeight="1" x14ac:dyDescent="0.25">
      <c r="B31" s="1084"/>
      <c r="C31" s="1109" t="s">
        <v>1318</v>
      </c>
      <c r="D31" s="1086"/>
      <c r="E31" s="1086"/>
      <c r="F31" s="1086"/>
      <c r="G31" s="1086"/>
      <c r="H31" s="1086"/>
      <c r="I31" s="1879" t="s">
        <v>1327</v>
      </c>
      <c r="J31" s="1086"/>
      <c r="K31" s="1086"/>
      <c r="L31" s="1086"/>
      <c r="M31" s="1086"/>
      <c r="N31" s="1086"/>
      <c r="O31" s="1086"/>
      <c r="P31" s="1086"/>
      <c r="Q31" s="1087"/>
      <c r="Y31" s="1623"/>
      <c r="Z31" s="1584"/>
      <c r="AA31" s="1584"/>
      <c r="AB31" s="1584"/>
      <c r="AC31" s="1584"/>
      <c r="AD31" s="1584"/>
      <c r="AE31" s="1584"/>
      <c r="AF31" s="1584"/>
      <c r="AG31" s="1585"/>
    </row>
    <row r="32" spans="2:39" ht="15.65" customHeight="1" x14ac:dyDescent="0.25">
      <c r="B32" s="1089"/>
      <c r="C32" s="1090"/>
      <c r="D32" s="1090"/>
      <c r="E32" s="1091" t="s">
        <v>198</v>
      </c>
      <c r="F32" s="1091" t="s">
        <v>199</v>
      </c>
      <c r="G32" s="1091" t="s">
        <v>200</v>
      </c>
      <c r="H32" s="1091" t="s">
        <v>184</v>
      </c>
      <c r="I32" s="1880"/>
      <c r="J32" s="1120" t="s">
        <v>201</v>
      </c>
      <c r="K32" s="1090"/>
      <c r="L32" s="1090"/>
      <c r="M32" s="1090"/>
      <c r="N32" s="1090"/>
      <c r="O32" s="1091" t="s">
        <v>82</v>
      </c>
      <c r="P32" s="1090"/>
      <c r="Q32" s="1094"/>
      <c r="Y32" s="1725" t="s">
        <v>202</v>
      </c>
      <c r="Z32" s="1582" t="s">
        <v>203</v>
      </c>
      <c r="AA32" s="1582" t="s">
        <v>204</v>
      </c>
      <c r="AB32" s="1582" t="s">
        <v>205</v>
      </c>
      <c r="AC32" s="1582" t="s">
        <v>206</v>
      </c>
      <c r="AD32" s="1582" t="s">
        <v>207</v>
      </c>
      <c r="AE32" s="1731" t="s">
        <v>208</v>
      </c>
      <c r="AF32" s="1584"/>
      <c r="AG32" s="1585"/>
    </row>
    <row r="33" spans="2:39" ht="15.65" customHeight="1" x14ac:dyDescent="0.25">
      <c r="B33" s="1095"/>
      <c r="C33" s="1096"/>
      <c r="D33" s="1096"/>
      <c r="E33" s="1096"/>
      <c r="F33" s="1096"/>
      <c r="G33" s="1096"/>
      <c r="H33" s="1096"/>
      <c r="I33" s="1228"/>
      <c r="J33" s="1193"/>
      <c r="K33" s="1096"/>
      <c r="L33" s="1096"/>
      <c r="M33" s="1096"/>
      <c r="N33" s="1125"/>
      <c r="O33" s="1322" t="s">
        <v>209</v>
      </c>
      <c r="P33" s="1155"/>
      <c r="Q33" s="1099"/>
      <c r="Y33" s="1725" t="s">
        <v>210</v>
      </c>
      <c r="Z33" s="1582" t="s">
        <v>210</v>
      </c>
      <c r="AA33" s="1582" t="s">
        <v>210</v>
      </c>
      <c r="AB33" s="1582" t="s">
        <v>128</v>
      </c>
      <c r="AC33" s="1732" t="s">
        <v>211</v>
      </c>
      <c r="AD33" s="1582" t="s">
        <v>84</v>
      </c>
      <c r="AE33" s="1731" t="s">
        <v>212</v>
      </c>
      <c r="AF33" s="1584"/>
      <c r="AG33" s="1585"/>
      <c r="AH33" s="1893" t="s">
        <v>189</v>
      </c>
      <c r="AI33" s="1894"/>
      <c r="AJ33" s="1894"/>
      <c r="AK33" s="1894"/>
      <c r="AL33" s="1894"/>
      <c r="AM33" s="1894"/>
    </row>
    <row r="34" spans="2:39" ht="15.65" customHeight="1" x14ac:dyDescent="0.25">
      <c r="B34" s="1095"/>
      <c r="C34" s="1113" t="s">
        <v>423</v>
      </c>
      <c r="D34" s="1096"/>
      <c r="E34" s="1052"/>
      <c r="F34" s="1055"/>
      <c r="G34" s="807"/>
      <c r="H34" s="498"/>
      <c r="I34" s="949"/>
      <c r="J34" s="808"/>
      <c r="K34" s="1129"/>
      <c r="L34" s="1098"/>
      <c r="M34" s="1098"/>
      <c r="N34" s="1130"/>
      <c r="O34" s="1131">
        <f>IF(F34="",0,IFERROR(AA34*AB34+AD34*'Key Values'!$C$149,'Hidden Lists and Summaries'!$C$158))</f>
        <v>0</v>
      </c>
      <c r="P34" s="1132" t="s">
        <v>90</v>
      </c>
      <c r="Q34" s="1099"/>
      <c r="Y34" s="1733" t="e">
        <f>IF(OR(($F34='Key Values'!$B$26),($F34='Key Values'!$B$27),($F34='Key Values'!$B$24)),0,VLOOKUP(iq_location,TapWaterEmbodiedEmissions[#All],2,FALSE))</f>
        <v>#N/A</v>
      </c>
      <c r="Z34" s="1683" t="e">
        <f>VLOOKUP(F34,WaterEmbodiedEmissions[#All],2,FALSE)</f>
        <v>#N/A</v>
      </c>
      <c r="AA34" s="1734" t="e">
        <f>IF(I34&lt;&gt;"",I34/VLOOKUP(H34,Table13[#All], 2, FALSE),Y34+IFERROR(Z34*1,0))</f>
        <v>#N/A</v>
      </c>
      <c r="AB34" s="1684" t="e">
        <f>VLOOKUP(H34,Table13[#All], 2, FALSE)*G34</f>
        <v>#N/A</v>
      </c>
      <c r="AC34" s="1584" cm="1">
        <f t="array" ref="AC34">IF(OR(($F34='Key Values'!$B$26),($F34='Key Values'!$B$27)),PumpedWaterSupplyCosts[Pumping to Site (kWh/m3/km)],0)</f>
        <v>0</v>
      </c>
      <c r="AD34" s="1584" t="e">
        <f>AE34*AC34*J34</f>
        <v>#N/A</v>
      </c>
      <c r="AE34" s="1585" t="e">
        <f>G34*VLOOKUP(H34,Table13[#All], 3,FALSE)</f>
        <v>#N/A</v>
      </c>
      <c r="AF34" s="1584"/>
      <c r="AG34" s="1585"/>
      <c r="AH34" s="1893"/>
      <c r="AI34" s="1894"/>
      <c r="AJ34" s="1894"/>
      <c r="AK34" s="1894"/>
      <c r="AL34" s="1894"/>
      <c r="AM34" s="1894"/>
    </row>
    <row r="35" spans="2:39" ht="15.65" customHeight="1" x14ac:dyDescent="0.25">
      <c r="B35" s="1095"/>
      <c r="C35" s="1113" t="s">
        <v>424</v>
      </c>
      <c r="D35" s="1096"/>
      <c r="E35" s="1053"/>
      <c r="F35" s="1056"/>
      <c r="G35" s="809"/>
      <c r="H35" s="799"/>
      <c r="I35" s="951"/>
      <c r="J35" s="808"/>
      <c r="K35" s="1129"/>
      <c r="L35" s="1098"/>
      <c r="M35" s="1098"/>
      <c r="N35" s="1130"/>
      <c r="O35" s="1131">
        <f>IF(F35="",0,IFERROR(AA35*AB35+AD35*'Key Values'!$C$149,'Hidden Lists and Summaries'!$C$158))</f>
        <v>0</v>
      </c>
      <c r="P35" s="1132" t="s">
        <v>90</v>
      </c>
      <c r="Q35" s="1099"/>
      <c r="Y35" s="1735" t="e">
        <f>IF(OR(($F35='Key Values'!$B$26),($F35='Key Values'!$B$27),($F35='Key Values'!$B$24)),0,VLOOKUP(iq_location,TapWaterEmbodiedEmissions[#All],2,FALSE))</f>
        <v>#N/A</v>
      </c>
      <c r="Z35" s="1686" t="e">
        <f>VLOOKUP(F35,WaterEmbodiedEmissions[#All],2,FALSE)</f>
        <v>#N/A</v>
      </c>
      <c r="AA35" s="1734" t="e">
        <f>IF(I35&lt;&gt;"",I35/VLOOKUP(H35,Table13[#All], 2, FALSE),Y35+IFERROR(Z35*1,0))</f>
        <v>#N/A</v>
      </c>
      <c r="AB35" s="1624" t="e">
        <f>VLOOKUP(H35,Table13[#All], 2, FALSE)*G35</f>
        <v>#N/A</v>
      </c>
      <c r="AC35" s="1584" cm="1">
        <f t="array" ref="AC35">IF(OR(($F35='Key Values'!$B$26),($F35='Key Values'!$B$27)),PumpedWaterSupplyCosts[Pumping to Site (kWh/m3/km)],0)</f>
        <v>0</v>
      </c>
      <c r="AD35" s="1584" t="e">
        <f>AE35*AC35*J35</f>
        <v>#N/A</v>
      </c>
      <c r="AE35" s="1585" t="e">
        <f>G35*VLOOKUP(H35,Table13[#All], 3,FALSE)</f>
        <v>#N/A</v>
      </c>
      <c r="AF35" s="1584"/>
      <c r="AG35" s="1585"/>
      <c r="AH35" s="1892" t="s">
        <v>191</v>
      </c>
      <c r="AI35" s="1892" t="s">
        <v>192</v>
      </c>
      <c r="AJ35" s="1892" t="s">
        <v>193</v>
      </c>
      <c r="AK35" s="1892" t="s">
        <v>194</v>
      </c>
      <c r="AL35" s="1892" t="s">
        <v>195</v>
      </c>
      <c r="AM35" s="1892" t="s">
        <v>196</v>
      </c>
    </row>
    <row r="36" spans="2:39" ht="15.65" customHeight="1" x14ac:dyDescent="0.25">
      <c r="B36" s="1095"/>
      <c r="C36" s="1113" t="s">
        <v>425</v>
      </c>
      <c r="D36" s="1096"/>
      <c r="E36" s="1054"/>
      <c r="F36" s="1057"/>
      <c r="G36" s="810"/>
      <c r="H36" s="810"/>
      <c r="I36" s="950"/>
      <c r="J36" s="808"/>
      <c r="K36" s="1129"/>
      <c r="L36" s="1098"/>
      <c r="M36" s="1098"/>
      <c r="N36" s="1130"/>
      <c r="O36" s="1139">
        <f>IF(F36="",0,IFERROR(AA36*AB36+AD36*'Key Values'!$C$149,'Hidden Lists and Summaries'!$C$158))</f>
        <v>0</v>
      </c>
      <c r="P36" s="1132" t="s">
        <v>90</v>
      </c>
      <c r="Q36" s="1099"/>
      <c r="Y36" s="1735" t="e">
        <f>IF(OR(($F36='Key Values'!$B$26),($F36='Key Values'!$B$27),($F36='Key Values'!$B$24)),0,VLOOKUP(iq_location,TapWaterEmbodiedEmissions[#All],2,FALSE))</f>
        <v>#N/A</v>
      </c>
      <c r="Z36" s="1687" t="e">
        <f>VLOOKUP(F36,WaterEmbodiedEmissions[#All],2,FALSE)</f>
        <v>#N/A</v>
      </c>
      <c r="AA36" s="1734" t="e">
        <f>IF(I36&lt;&gt;"",I36/VLOOKUP(H36,Table13[#All], 2, FALSE),Y36+IFERROR(Z36*1,0))</f>
        <v>#N/A</v>
      </c>
      <c r="AB36" s="1688" t="e">
        <f>VLOOKUP(H36,Table13[#All], 2, FALSE)*G36</f>
        <v>#N/A</v>
      </c>
      <c r="AC36" s="1610" cm="1">
        <f t="array" ref="AC36">IF(OR(($F36='Key Values'!$B$26),($F36='Key Values'!$B$27)),PumpedWaterSupplyCosts[Pumping to Site (kWh/m3/km)],0)</f>
        <v>0</v>
      </c>
      <c r="AD36" s="1610" t="e">
        <f>AE36*AC36*J36</f>
        <v>#N/A</v>
      </c>
      <c r="AE36" s="1655" t="e">
        <f>G36*VLOOKUP(H36,Table13[#All], 3,FALSE)</f>
        <v>#N/A</v>
      </c>
      <c r="AF36" s="1584"/>
      <c r="AG36" s="1585"/>
      <c r="AH36" s="1892"/>
      <c r="AI36" s="1892"/>
      <c r="AJ36" s="1892"/>
      <c r="AK36" s="1892"/>
      <c r="AL36" s="1892"/>
      <c r="AM36" s="1892"/>
    </row>
    <row r="37" spans="2:39" ht="15.65" customHeight="1" x14ac:dyDescent="0.25">
      <c r="B37" s="1105"/>
      <c r="C37" s="1106"/>
      <c r="D37" s="1106"/>
      <c r="E37" s="1106"/>
      <c r="F37" s="1106"/>
      <c r="G37" s="1106"/>
      <c r="H37" s="1115"/>
      <c r="I37" s="1115"/>
      <c r="J37" s="1106"/>
      <c r="K37" s="1106"/>
      <c r="L37" s="1106"/>
      <c r="M37" s="1106"/>
      <c r="N37" s="1144" t="s">
        <v>120</v>
      </c>
      <c r="O37" s="1145">
        <f>SUM(O34:O36)</f>
        <v>0</v>
      </c>
      <c r="P37" s="1146" t="s">
        <v>90</v>
      </c>
      <c r="Q37" s="1107"/>
      <c r="Y37" s="1623"/>
      <c r="Z37" s="1584"/>
      <c r="AA37" s="1594"/>
      <c r="AB37" s="1584"/>
      <c r="AC37" s="1584"/>
      <c r="AD37" s="1584"/>
      <c r="AE37" s="1584"/>
      <c r="AF37" s="1584"/>
      <c r="AG37" s="1585"/>
      <c r="AH37" s="1637"/>
      <c r="AI37" s="1594">
        <f>O37</f>
        <v>0</v>
      </c>
      <c r="AJ37" s="1594"/>
      <c r="AK37" s="1594" t="str">
        <f>'Hidden Lists and Summaries'!$B$5</f>
        <v>Embodied (Upstream)</v>
      </c>
      <c r="AL37" s="1594"/>
      <c r="AM37" s="1639" t="s">
        <v>214</v>
      </c>
    </row>
    <row r="38" spans="2:39" ht="15.65" customHeight="1" x14ac:dyDescent="0.25">
      <c r="B38" s="1118"/>
      <c r="C38" s="1118"/>
      <c r="D38" s="1118"/>
      <c r="E38" s="1118"/>
      <c r="F38" s="1118"/>
      <c r="G38" s="1118"/>
      <c r="H38" s="1118"/>
      <c r="I38" s="1118"/>
      <c r="J38" s="1118"/>
      <c r="K38" s="1118"/>
      <c r="L38" s="1118"/>
      <c r="M38" s="1118"/>
      <c r="N38" s="1118"/>
      <c r="O38" s="1118"/>
      <c r="P38" s="1118"/>
      <c r="Q38" s="1118"/>
      <c r="Y38" s="1623"/>
      <c r="Z38" s="1584"/>
      <c r="AA38" s="1584"/>
      <c r="AB38" s="1584"/>
      <c r="AC38" s="1584"/>
      <c r="AD38" s="1584"/>
      <c r="AE38" s="1584"/>
      <c r="AF38" s="1584"/>
      <c r="AG38" s="1585"/>
      <c r="AH38" s="1623"/>
      <c r="AI38" s="1584"/>
      <c r="AJ38" s="1584"/>
      <c r="AK38" s="1584"/>
      <c r="AL38" s="1584"/>
      <c r="AM38" s="1585"/>
    </row>
    <row r="39" spans="2:39" ht="15.65" customHeight="1" x14ac:dyDescent="0.25">
      <c r="B39" s="1081"/>
      <c r="C39" s="1082"/>
      <c r="D39" s="1082"/>
      <c r="E39" s="1082"/>
      <c r="F39" s="169" t="s">
        <v>1340</v>
      </c>
      <c r="G39" s="1082"/>
      <c r="H39" s="1082"/>
      <c r="I39" s="1082"/>
      <c r="J39" s="1082"/>
      <c r="K39" s="1082"/>
      <c r="L39" s="1082"/>
      <c r="M39" s="1082"/>
      <c r="N39" s="1082"/>
      <c r="O39" s="1082"/>
      <c r="P39" s="1082"/>
      <c r="Q39" s="1083"/>
      <c r="Y39" s="1623"/>
      <c r="Z39" s="1584"/>
      <c r="AA39" s="1584"/>
      <c r="AB39" s="1584"/>
      <c r="AC39" s="1584"/>
      <c r="AD39" s="1584"/>
      <c r="AE39" s="1584"/>
      <c r="AF39" s="1584"/>
      <c r="AG39" s="1585"/>
      <c r="AH39" s="1623"/>
      <c r="AI39" s="1584"/>
      <c r="AJ39" s="1584"/>
      <c r="AK39" s="1584"/>
      <c r="AL39" s="1584"/>
      <c r="AM39" s="1585"/>
    </row>
    <row r="40" spans="2:39" ht="15.65" customHeight="1" x14ac:dyDescent="0.25">
      <c r="B40" s="1084"/>
      <c r="C40" s="1109" t="s">
        <v>1317</v>
      </c>
      <c r="D40" s="1151"/>
      <c r="E40" s="1151"/>
      <c r="F40" s="1151"/>
      <c r="G40" s="1151"/>
      <c r="H40" s="1879" t="s">
        <v>1327</v>
      </c>
      <c r="I40" s="1152"/>
      <c r="J40" s="1152"/>
      <c r="K40" s="1151"/>
      <c r="L40" s="1151"/>
      <c r="M40" s="1151"/>
      <c r="N40" s="1151"/>
      <c r="O40" s="1151"/>
      <c r="P40" s="1151"/>
      <c r="Q40" s="1087"/>
      <c r="Y40" s="1623"/>
      <c r="Z40" s="1584"/>
      <c r="AA40" s="1584"/>
      <c r="AB40" s="1584"/>
      <c r="AC40" s="1584"/>
      <c r="AD40" s="1584"/>
      <c r="AE40" s="1584"/>
      <c r="AF40" s="1584"/>
      <c r="AG40" s="1585"/>
      <c r="AH40" s="1623"/>
      <c r="AI40" s="1584"/>
      <c r="AJ40" s="1584"/>
      <c r="AK40" s="1584"/>
      <c r="AL40" s="1584"/>
      <c r="AM40" s="1585"/>
    </row>
    <row r="41" spans="2:39" ht="15.65" customHeight="1" x14ac:dyDescent="0.25">
      <c r="B41" s="1089"/>
      <c r="C41" s="1090"/>
      <c r="D41" s="1090"/>
      <c r="E41" s="1091" t="s">
        <v>218</v>
      </c>
      <c r="F41" s="1091" t="s">
        <v>200</v>
      </c>
      <c r="G41" s="1091" t="s">
        <v>184</v>
      </c>
      <c r="H41" s="1880"/>
      <c r="I41" s="1111" t="s">
        <v>201</v>
      </c>
      <c r="J41" s="1092"/>
      <c r="K41" s="1090"/>
      <c r="L41" s="1090"/>
      <c r="M41" s="1090"/>
      <c r="N41" s="1090"/>
      <c r="O41" s="1091" t="s">
        <v>82</v>
      </c>
      <c r="P41" s="1090"/>
      <c r="Q41" s="1094"/>
      <c r="Y41" s="1738" t="s">
        <v>219</v>
      </c>
      <c r="Z41" s="1627" t="s">
        <v>206</v>
      </c>
      <c r="AA41" s="1582" t="s">
        <v>220</v>
      </c>
      <c r="AB41" s="1582" t="s">
        <v>501</v>
      </c>
      <c r="AC41" s="1582" t="s">
        <v>222</v>
      </c>
      <c r="AD41" s="1584"/>
      <c r="AE41" s="1584"/>
      <c r="AF41" s="1584"/>
      <c r="AG41" s="1585"/>
      <c r="AH41" s="1623"/>
      <c r="AI41" s="1584"/>
      <c r="AJ41" s="1584"/>
      <c r="AK41" s="1584"/>
      <c r="AL41" s="1584"/>
      <c r="AM41" s="1585"/>
    </row>
    <row r="42" spans="2:39" ht="15.65" customHeight="1" x14ac:dyDescent="0.25">
      <c r="B42" s="1095"/>
      <c r="C42" s="1096"/>
      <c r="D42" s="1096"/>
      <c r="E42" s="1096"/>
      <c r="F42" s="1096"/>
      <c r="G42" s="1096"/>
      <c r="H42" s="1098"/>
      <c r="I42" s="1098"/>
      <c r="J42" s="1113"/>
      <c r="K42" s="1113"/>
      <c r="L42" s="1113"/>
      <c r="M42" s="1113"/>
      <c r="N42" s="1125"/>
      <c r="O42" s="1322" t="s">
        <v>209</v>
      </c>
      <c r="P42" s="1155"/>
      <c r="Q42" s="1099"/>
      <c r="Y42" s="1580" t="s">
        <v>223</v>
      </c>
      <c r="Z42" s="1628" t="s">
        <v>211</v>
      </c>
      <c r="AA42" s="1582" t="s">
        <v>84</v>
      </c>
      <c r="AB42" s="1582" t="s">
        <v>212</v>
      </c>
      <c r="AC42" s="1582" t="s">
        <v>224</v>
      </c>
      <c r="AD42" s="1584"/>
      <c r="AE42" s="1584"/>
      <c r="AF42" s="1584"/>
      <c r="AG42" s="1585"/>
      <c r="AH42" s="1623"/>
      <c r="AI42" s="1584"/>
      <c r="AJ42" s="1584"/>
      <c r="AK42" s="1584"/>
      <c r="AL42" s="1584"/>
      <c r="AM42" s="1585"/>
    </row>
    <row r="43" spans="2:39" ht="15.65" customHeight="1" x14ac:dyDescent="0.25">
      <c r="B43" s="1095"/>
      <c r="C43" s="1113" t="s">
        <v>502</v>
      </c>
      <c r="D43" s="1096"/>
      <c r="E43" s="353"/>
      <c r="F43" s="354"/>
      <c r="G43" s="503"/>
      <c r="H43" s="1317"/>
      <c r="I43" s="999"/>
      <c r="J43" s="1158"/>
      <c r="K43" s="1113"/>
      <c r="L43" s="1113"/>
      <c r="M43" s="1113"/>
      <c r="N43" s="1130"/>
      <c r="O43" s="1131">
        <f>IF(AND(F43="",G43="",I43=""),0,IFERROR(IF(H43&lt;&gt;"",AC43*AB43,AA43*'Key Values'!$C$149),'Hidden Lists and Summaries'!$C$158))</f>
        <v>0</v>
      </c>
      <c r="P43" s="1132" t="s">
        <v>90</v>
      </c>
      <c r="Q43" s="1099"/>
      <c r="Y43" s="1739">
        <f>'Key Values'!$C$31</f>
        <v>9.2999999999999999E-2</v>
      </c>
      <c r="Z43" s="1740">
        <f>'Key Values'!$D$31</f>
        <v>3.6700000000000003E-2</v>
      </c>
      <c r="AA43" s="1741" t="e">
        <f>AB43*Y43+AB43*I43*Z43</f>
        <v>#N/A</v>
      </c>
      <c r="AB43" s="1742" t="e">
        <f>VLOOKUP(G43,Table13[#All], 3, FALSE)*F43</f>
        <v>#N/A</v>
      </c>
      <c r="AC43" s="1584" t="e">
        <f>H43/VLOOKUP(G40,Table13[#All], 3, FALSE)</f>
        <v>#N/A</v>
      </c>
      <c r="AD43" s="1623"/>
      <c r="AE43" s="1584"/>
      <c r="AF43" s="1584"/>
      <c r="AG43" s="1585"/>
      <c r="AH43" s="1623"/>
      <c r="AI43" s="1584"/>
      <c r="AJ43" s="1584"/>
      <c r="AK43" s="1584"/>
      <c r="AL43" s="1584"/>
      <c r="AM43" s="1585"/>
    </row>
    <row r="44" spans="2:39" ht="15.65" customHeight="1" x14ac:dyDescent="0.25">
      <c r="B44" s="1105"/>
      <c r="C44" s="1106"/>
      <c r="D44" s="1106"/>
      <c r="E44" s="1106"/>
      <c r="F44" s="1106"/>
      <c r="G44" s="1106"/>
      <c r="H44" s="1161"/>
      <c r="I44" s="1115"/>
      <c r="J44" s="1161"/>
      <c r="K44" s="1161"/>
      <c r="L44" s="1161"/>
      <c r="M44" s="1161"/>
      <c r="N44" s="1144" t="s">
        <v>120</v>
      </c>
      <c r="O44" s="1145">
        <f>SUM(O43)</f>
        <v>0</v>
      </c>
      <c r="P44" s="1146" t="s">
        <v>90</v>
      </c>
      <c r="Q44" s="1107"/>
      <c r="Y44" s="1623"/>
      <c r="Z44" s="1584"/>
      <c r="AA44" s="1584"/>
      <c r="AB44" s="1584"/>
      <c r="AC44" s="1594"/>
      <c r="AD44" s="1584"/>
      <c r="AE44" s="1584"/>
      <c r="AF44" s="1584"/>
      <c r="AG44" s="1585"/>
      <c r="AH44" s="1623"/>
      <c r="AI44" s="1584">
        <f>O44</f>
        <v>0</v>
      </c>
      <c r="AJ44" s="1584"/>
      <c r="AK44" s="1584" t="str">
        <f>'Hidden Lists and Summaries'!$B$5</f>
        <v>Embodied (Upstream)</v>
      </c>
      <c r="AL44" s="1584"/>
      <c r="AM44" s="1585" t="s">
        <v>214</v>
      </c>
    </row>
    <row r="45" spans="2:39" s="1164" customFormat="1" ht="15.65" customHeight="1" x14ac:dyDescent="0.25">
      <c r="B45" s="1162"/>
      <c r="C45" s="1108"/>
      <c r="D45" s="1108"/>
      <c r="E45" s="1108"/>
      <c r="F45" s="1108"/>
      <c r="G45" s="1108"/>
      <c r="H45" s="1102"/>
      <c r="I45" s="1102"/>
      <c r="J45" s="1108"/>
      <c r="K45" s="1108"/>
      <c r="L45" s="1108"/>
      <c r="M45" s="1108"/>
      <c r="N45" s="1163"/>
      <c r="O45" s="1108"/>
      <c r="P45" s="1108"/>
      <c r="Q45" s="1108"/>
      <c r="R45" s="1102"/>
      <c r="Y45" s="1743"/>
      <c r="Z45" s="1583"/>
      <c r="AA45" s="1583"/>
      <c r="AB45" s="1583"/>
      <c r="AC45" s="1583"/>
      <c r="AD45" s="1583"/>
      <c r="AE45" s="1583"/>
      <c r="AF45" s="1583"/>
      <c r="AG45" s="1744"/>
      <c r="AH45" s="1743"/>
      <c r="AI45" s="1583"/>
      <c r="AJ45" s="1583"/>
      <c r="AK45" s="1583"/>
      <c r="AL45" s="1583"/>
      <c r="AM45" s="1744"/>
    </row>
    <row r="46" spans="2:39" ht="15.65" customHeight="1" x14ac:dyDescent="0.25">
      <c r="B46" s="1081"/>
      <c r="C46" s="1082"/>
      <c r="D46" s="1082"/>
      <c r="E46" s="1082"/>
      <c r="F46" s="1082"/>
      <c r="G46" s="1082"/>
      <c r="H46" s="1082"/>
      <c r="I46" s="1082"/>
      <c r="J46" s="1082"/>
      <c r="K46" s="1082"/>
      <c r="L46" s="1082"/>
      <c r="M46" s="1082"/>
      <c r="N46" s="1082"/>
      <c r="O46" s="1082"/>
      <c r="P46" s="1082"/>
      <c r="Q46" s="1083"/>
      <c r="Y46" s="1623"/>
      <c r="Z46" s="1584"/>
      <c r="AA46" s="1584"/>
      <c r="AB46" s="1584"/>
      <c r="AC46" s="1584"/>
      <c r="AD46" s="1584"/>
      <c r="AE46" s="1584"/>
      <c r="AF46" s="1584"/>
      <c r="AG46" s="1585"/>
      <c r="AH46" s="1623"/>
      <c r="AI46" s="1584"/>
      <c r="AJ46" s="1584"/>
      <c r="AK46" s="1584"/>
      <c r="AL46" s="1584"/>
      <c r="AM46" s="1585"/>
    </row>
    <row r="47" spans="2:39" ht="15" customHeight="1" x14ac:dyDescent="0.25">
      <c r="B47" s="1084"/>
      <c r="C47" s="125" t="s">
        <v>1315</v>
      </c>
      <c r="D47" s="1086"/>
      <c r="E47" s="1086"/>
      <c r="F47" s="1086"/>
      <c r="G47" s="1086"/>
      <c r="H47" s="1086"/>
      <c r="I47" s="1086"/>
      <c r="J47" s="1086"/>
      <c r="K47" s="1086"/>
      <c r="L47" s="1086"/>
      <c r="M47" s="1086"/>
      <c r="N47" s="1086"/>
      <c r="O47" s="1086"/>
      <c r="P47" s="1086"/>
      <c r="Q47" s="1087"/>
      <c r="Y47" s="1623"/>
      <c r="Z47" s="1584"/>
      <c r="AA47" s="1584"/>
      <c r="AB47" s="1584"/>
      <c r="AC47" s="1584"/>
      <c r="AD47" s="1584"/>
      <c r="AE47" s="1584"/>
      <c r="AF47" s="1584"/>
      <c r="AG47" s="1585"/>
      <c r="AH47" s="1623"/>
      <c r="AI47" s="1584"/>
      <c r="AJ47" s="1584"/>
      <c r="AK47" s="1584"/>
      <c r="AL47" s="1584"/>
      <c r="AM47" s="1585"/>
    </row>
    <row r="48" spans="2:39" ht="15.65" customHeight="1" x14ac:dyDescent="0.25">
      <c r="B48" s="1089"/>
      <c r="C48" s="1090"/>
      <c r="D48" s="1090"/>
      <c r="E48" s="1091" t="s">
        <v>80</v>
      </c>
      <c r="F48" s="1091" t="s">
        <v>81</v>
      </c>
      <c r="G48" s="1092"/>
      <c r="H48" s="1092"/>
      <c r="I48" s="1092"/>
      <c r="J48" s="1093"/>
      <c r="K48" s="1090"/>
      <c r="L48" s="1090"/>
      <c r="M48" s="1090"/>
      <c r="N48" s="1090"/>
      <c r="O48" s="1091" t="s">
        <v>82</v>
      </c>
      <c r="P48" s="1090"/>
      <c r="Q48" s="1094"/>
      <c r="Y48" s="1738" t="s">
        <v>228</v>
      </c>
      <c r="Z48" s="1738" t="s">
        <v>229</v>
      </c>
      <c r="AA48" s="1627" t="s">
        <v>230</v>
      </c>
      <c r="AB48" s="1627" t="s">
        <v>231</v>
      </c>
      <c r="AC48" s="1584"/>
      <c r="AD48" s="1627" t="s">
        <v>232</v>
      </c>
      <c r="AE48" s="1629" t="s">
        <v>233</v>
      </c>
      <c r="AF48" s="1629" t="s">
        <v>234</v>
      </c>
      <c r="AG48" s="1585"/>
      <c r="AH48" s="1623"/>
      <c r="AI48" s="1584"/>
      <c r="AJ48" s="1584"/>
      <c r="AK48" s="1584"/>
      <c r="AL48" s="1584"/>
      <c r="AM48" s="1585"/>
    </row>
    <row r="49" spans="1:39" ht="15.65" customHeight="1" x14ac:dyDescent="0.25">
      <c r="B49" s="1170"/>
      <c r="C49" s="1171"/>
      <c r="D49" s="1171"/>
      <c r="E49" s="1172"/>
      <c r="F49" s="1172"/>
      <c r="G49" s="1173"/>
      <c r="H49" s="1173"/>
      <c r="I49" s="1173"/>
      <c r="J49" s="1174"/>
      <c r="K49" s="1171"/>
      <c r="L49" s="1171"/>
      <c r="M49" s="1171"/>
      <c r="N49" s="1171"/>
      <c r="O49" s="1172"/>
      <c r="P49" s="1171"/>
      <c r="Q49" s="1175"/>
      <c r="Y49" s="1580"/>
      <c r="Z49" s="1580" t="s">
        <v>84</v>
      </c>
      <c r="AA49" s="1627" t="s">
        <v>84</v>
      </c>
      <c r="AB49" s="1628"/>
      <c r="AC49" s="1584"/>
      <c r="AD49" s="1628"/>
      <c r="AE49" s="1629"/>
      <c r="AF49" s="1629"/>
      <c r="AG49" s="1585"/>
      <c r="AH49" s="1623"/>
      <c r="AI49" s="1584"/>
      <c r="AJ49" s="1584"/>
      <c r="AK49" s="1584"/>
      <c r="AL49" s="1584"/>
      <c r="AM49" s="1585"/>
    </row>
    <row r="50" spans="1:39" ht="15.65" customHeight="1" x14ac:dyDescent="0.25">
      <c r="B50" s="1095"/>
      <c r="C50" s="815" t="s">
        <v>1313</v>
      </c>
      <c r="D50" s="1096"/>
      <c r="E50" s="552"/>
      <c r="F50" s="1177" t="s">
        <v>86</v>
      </c>
      <c r="G50" s="1530"/>
      <c r="H50" s="1098"/>
      <c r="I50" s="1098"/>
      <c r="J50" s="1096"/>
      <c r="K50" s="1096"/>
      <c r="L50" s="1096"/>
      <c r="M50" s="1096"/>
      <c r="N50" s="1096"/>
      <c r="O50" s="1096"/>
      <c r="P50" s="1096"/>
      <c r="Q50" s="1099"/>
      <c r="Y50" s="1178" t="s">
        <v>120</v>
      </c>
      <c r="Z50" s="1635">
        <f>E50*VLOOKUP(F50,EnergyConversionTable[],3)</f>
        <v>0</v>
      </c>
      <c r="AA50" s="1635"/>
      <c r="AB50" s="1636"/>
      <c r="AC50" s="1584"/>
      <c r="AD50" s="1637" t="s">
        <v>236</v>
      </c>
      <c r="AE50" s="1638" t="str">
        <f>overall_locationBasedImportEmissions</f>
        <v>Error -  Review inputs</v>
      </c>
      <c r="AF50" s="1639">
        <f>AB53</f>
        <v>0</v>
      </c>
      <c r="AG50" s="1585"/>
      <c r="AH50" s="1623"/>
      <c r="AI50" s="1584"/>
      <c r="AJ50" s="1584"/>
      <c r="AK50" s="1584"/>
      <c r="AL50" s="1584"/>
      <c r="AM50" s="1585"/>
    </row>
    <row r="51" spans="1:39" x14ac:dyDescent="0.25">
      <c r="B51" s="1095"/>
      <c r="C51" s="806" t="s">
        <v>237</v>
      </c>
      <c r="D51" s="1096"/>
      <c r="E51" s="548"/>
      <c r="F51" s="1181" t="s">
        <v>86</v>
      </c>
      <c r="G51" s="1532" t="str">
        <f>IF('Electricity Usage'!$H$71&gt;1,'Hidden Lists and Summaries'!$D$160,"")</f>
        <v/>
      </c>
      <c r="H51" s="1098"/>
      <c r="I51" s="1098"/>
      <c r="J51" s="1096"/>
      <c r="K51" s="1096"/>
      <c r="L51" s="1096"/>
      <c r="M51" s="1096"/>
      <c r="N51" s="103" t="s">
        <v>236</v>
      </c>
      <c r="O51" s="1183" t="str">
        <f>IFERROR(AE50*AF50,'Hidden Lists and Summaries'!$C$158)</f>
        <v>Error -  Review inputs</v>
      </c>
      <c r="P51" s="1184" t="s">
        <v>90</v>
      </c>
      <c r="Q51" s="1099"/>
      <c r="Y51" s="1185" t="s">
        <v>238</v>
      </c>
      <c r="Z51" s="1646">
        <f>E51*VLOOKUP(F51,EnergyConversionTable[],3)</f>
        <v>0</v>
      </c>
      <c r="AA51" s="1646"/>
      <c r="AB51" s="1647"/>
      <c r="AC51" s="1584"/>
      <c r="AD51" s="1623" t="s">
        <v>239</v>
      </c>
      <c r="AE51" s="1648">
        <f>overall_ImportEmissions</f>
        <v>0</v>
      </c>
      <c r="AF51" s="1585">
        <f>AB53</f>
        <v>0</v>
      </c>
      <c r="AG51" s="1585"/>
      <c r="AH51" s="1623"/>
      <c r="AI51" s="1583">
        <f>O52</f>
        <v>0</v>
      </c>
      <c r="AJ51" s="1583"/>
      <c r="AK51" s="1583" t="s">
        <v>240</v>
      </c>
      <c r="AL51" s="1584"/>
      <c r="AM51" s="1585"/>
    </row>
    <row r="52" spans="1:39" ht="15.65" customHeight="1" x14ac:dyDescent="0.25">
      <c r="B52" s="1095"/>
      <c r="C52" s="806"/>
      <c r="D52" s="1187"/>
      <c r="E52" s="1173"/>
      <c r="F52" s="1173"/>
      <c r="G52" s="1532"/>
      <c r="H52" s="1098"/>
      <c r="I52" s="1098"/>
      <c r="J52" s="1098"/>
      <c r="K52" s="1098"/>
      <c r="L52" s="1096"/>
      <c r="M52" s="1096"/>
      <c r="N52" s="106" t="s">
        <v>239</v>
      </c>
      <c r="O52" s="1131">
        <f>IFERROR(AE51*AF51,'Hidden Lists and Summaries'!$C$158)</f>
        <v>0</v>
      </c>
      <c r="P52" s="1132" t="s">
        <v>90</v>
      </c>
      <c r="Q52" s="1099"/>
      <c r="Y52" s="1185"/>
      <c r="Z52" s="1646">
        <f>E51*VLOOKUP(F51,EnergyConversionTable[],3)</f>
        <v>0</v>
      </c>
      <c r="AA52" s="1646">
        <f>overall_onsiteElecGenRenewables+overall_verifiedRenewableElectricityImported</f>
        <v>0</v>
      </c>
      <c r="AB52" s="1647">
        <f>IF(AA52=0,0,Z52/AA52)</f>
        <v>0</v>
      </c>
      <c r="AC52" s="1584"/>
      <c r="AD52" s="1623" t="s">
        <v>242</v>
      </c>
      <c r="AE52" s="1648">
        <f>total_embodiedEmissionsCombustionBasedElectricity</f>
        <v>0</v>
      </c>
      <c r="AF52" s="1585">
        <f>AB54</f>
        <v>0</v>
      </c>
      <c r="AG52" s="1585"/>
      <c r="AH52" s="1623"/>
      <c r="AI52" s="1583">
        <f>O53</f>
        <v>0</v>
      </c>
      <c r="AJ52" s="1583"/>
      <c r="AK52" s="1583" t="str">
        <f>'Hidden Lists and Summaries'!$B$5</f>
        <v>Embodied (Upstream)</v>
      </c>
      <c r="AL52" s="1584"/>
      <c r="AM52" s="1585" t="s">
        <v>243</v>
      </c>
    </row>
    <row r="53" spans="1:39" ht="15.65" customHeight="1" x14ac:dyDescent="0.25">
      <c r="B53" s="1095"/>
      <c r="C53" s="805" t="s">
        <v>244</v>
      </c>
      <c r="D53" s="1188"/>
      <c r="E53" s="552"/>
      <c r="F53" s="1177" t="s">
        <v>86</v>
      </c>
      <c r="G53" s="1532" t="str">
        <f>IF('Electricity Usage'!$E$71&gt;1,'Hidden Lists and Summaries'!$D$157,"")</f>
        <v/>
      </c>
      <c r="H53" s="1098"/>
      <c r="I53" s="1098"/>
      <c r="J53" s="1096"/>
      <c r="K53" s="1096"/>
      <c r="L53" s="1096"/>
      <c r="M53" s="1096"/>
      <c r="N53" s="106" t="s">
        <v>245</v>
      </c>
      <c r="O53" s="1131">
        <f>IFERROR(AE52*AF52,'Hidden Lists and Summaries'!$C$158)</f>
        <v>0</v>
      </c>
      <c r="P53" s="1132" t="s">
        <v>90</v>
      </c>
      <c r="Q53" s="1099"/>
      <c r="Y53" s="1185" t="s">
        <v>246</v>
      </c>
      <c r="Z53" s="1646">
        <f>E53*VLOOKUP(F53,EnergyConversionTable[],3)</f>
        <v>0</v>
      </c>
      <c r="AA53" s="1646">
        <f>overall_totalImportedElectricity</f>
        <v>0</v>
      </c>
      <c r="AB53" s="1647">
        <f>IF(AA53=0,0,Z53/AA53)</f>
        <v>0</v>
      </c>
      <c r="AC53" s="1584"/>
      <c r="AD53" s="1623" t="s">
        <v>247</v>
      </c>
      <c r="AE53" s="1648">
        <f>total_emissionsCombustionBasedElectricity</f>
        <v>0</v>
      </c>
      <c r="AF53" s="1585">
        <f>AB54</f>
        <v>0</v>
      </c>
      <c r="AG53" s="1585"/>
      <c r="AH53" s="1623"/>
      <c r="AI53" s="1583">
        <f>O54</f>
        <v>0</v>
      </c>
      <c r="AJ53" s="1583"/>
      <c r="AK53" s="1583" t="s">
        <v>248</v>
      </c>
      <c r="AL53" s="1584"/>
      <c r="AM53" s="1585"/>
    </row>
    <row r="54" spans="1:39" ht="15" customHeight="1" x14ac:dyDescent="0.25">
      <c r="B54" s="1095"/>
      <c r="C54" s="1888" t="s">
        <v>1325</v>
      </c>
      <c r="D54" s="1096"/>
      <c r="E54" s="548"/>
      <c r="F54" s="1181" t="s">
        <v>86</v>
      </c>
      <c r="G54" s="1532" t="str">
        <f>IF('Electricity Usage'!$F$71&gt;1,'Hidden Lists and Summaries'!$D$158,"")</f>
        <v/>
      </c>
      <c r="H54" s="1098"/>
      <c r="I54" s="1098"/>
      <c r="J54" s="1096"/>
      <c r="K54" s="1096"/>
      <c r="L54" s="1096"/>
      <c r="M54" s="1096"/>
      <c r="N54" s="106" t="s">
        <v>250</v>
      </c>
      <c r="O54" s="1131">
        <f>IFERROR(AE53*AF53,'Hidden Lists and Summaries'!$C$158)</f>
        <v>0</v>
      </c>
      <c r="P54" s="1132" t="s">
        <v>90</v>
      </c>
      <c r="Q54" s="1099"/>
      <c r="Y54" s="1190" t="s">
        <v>251</v>
      </c>
      <c r="Z54" s="1656">
        <f>E54*VLOOKUP(F54,EnergyConversionTable[],3)</f>
        <v>0</v>
      </c>
      <c r="AA54" s="1656">
        <f>overall_totalOnsiteCombustionElecGen</f>
        <v>0</v>
      </c>
      <c r="AB54" s="1657">
        <f>IF(AA54=0,0,Z54/AA54)</f>
        <v>0</v>
      </c>
      <c r="AC54" s="1584"/>
      <c r="AD54" s="1594"/>
      <c r="AE54" s="1638"/>
      <c r="AF54" s="1594"/>
      <c r="AG54" s="1585"/>
      <c r="AH54" s="1623"/>
      <c r="AI54" s="1583"/>
      <c r="AJ54" s="1583"/>
      <c r="AK54" s="1583"/>
      <c r="AL54" s="1584"/>
      <c r="AM54" s="1585"/>
    </row>
    <row r="55" spans="1:39" ht="15.65" customHeight="1" x14ac:dyDescent="0.25">
      <c r="B55" s="1105"/>
      <c r="C55" s="1889"/>
      <c r="D55" s="1106"/>
      <c r="E55" s="1106"/>
      <c r="F55" s="1106"/>
      <c r="G55" s="1106"/>
      <c r="H55" s="1115"/>
      <c r="I55" s="1115"/>
      <c r="J55" s="1106"/>
      <c r="K55" s="1106"/>
      <c r="L55" s="1106"/>
      <c r="M55" s="1106"/>
      <c r="N55" s="1144" t="s">
        <v>120</v>
      </c>
      <c r="O55" s="1145">
        <f>SUM(O51:O54)</f>
        <v>0</v>
      </c>
      <c r="P55" s="1146" t="s">
        <v>90</v>
      </c>
      <c r="Q55" s="1107"/>
      <c r="Y55" s="1623"/>
      <c r="Z55" s="1584"/>
      <c r="AA55" s="1584"/>
      <c r="AB55" s="1584"/>
      <c r="AC55" s="1584"/>
      <c r="AD55" s="1584"/>
      <c r="AE55" s="1584"/>
      <c r="AF55" s="1584"/>
      <c r="AG55" s="1585"/>
      <c r="AH55" s="1623"/>
      <c r="AI55" s="1584"/>
      <c r="AJ55" s="1584"/>
      <c r="AK55" s="1584"/>
      <c r="AL55" s="1584"/>
      <c r="AM55" s="1585"/>
    </row>
    <row r="56" spans="1:39" ht="15.65" customHeight="1" x14ac:dyDescent="0.25">
      <c r="A56" s="1164"/>
      <c r="B56" s="1108"/>
      <c r="C56" s="1108"/>
      <c r="D56" s="1108"/>
      <c r="E56" s="1108"/>
      <c r="F56" s="1108"/>
      <c r="G56" s="1108"/>
      <c r="H56" s="1102"/>
      <c r="I56" s="1102"/>
      <c r="J56" s="1108"/>
      <c r="K56" s="1108"/>
      <c r="L56" s="1108"/>
      <c r="M56" s="1108"/>
      <c r="N56" s="1164"/>
      <c r="O56" s="1164"/>
      <c r="P56" s="1102"/>
      <c r="Q56" s="1108"/>
      <c r="Y56" s="1623"/>
      <c r="Z56" s="1584"/>
      <c r="AA56" s="1584"/>
      <c r="AB56" s="1584"/>
      <c r="AC56" s="1584"/>
      <c r="AD56" s="1584"/>
      <c r="AE56" s="1584"/>
      <c r="AF56" s="1584"/>
      <c r="AG56" s="1585"/>
      <c r="AH56" s="1623"/>
      <c r="AI56" s="1584"/>
      <c r="AJ56" s="1584"/>
      <c r="AK56" s="1584"/>
      <c r="AL56" s="1584"/>
      <c r="AM56" s="1585"/>
    </row>
    <row r="57" spans="1:39" ht="15.65" customHeight="1" x14ac:dyDescent="0.25">
      <c r="A57" s="1164"/>
      <c r="B57" s="1081"/>
      <c r="C57" s="1082"/>
      <c r="D57" s="1082"/>
      <c r="E57" s="1082"/>
      <c r="F57" s="1082"/>
      <c r="G57" s="1082"/>
      <c r="H57" s="1082"/>
      <c r="I57" s="1082"/>
      <c r="J57" s="1082"/>
      <c r="K57" s="1082"/>
      <c r="L57" s="1082"/>
      <c r="M57" s="1082"/>
      <c r="N57" s="1082"/>
      <c r="O57" s="1082"/>
      <c r="P57" s="1082"/>
      <c r="Q57" s="1083"/>
      <c r="Y57" s="1623"/>
      <c r="Z57" s="1584"/>
      <c r="AA57" s="1584"/>
      <c r="AB57" s="1584"/>
      <c r="AC57" s="1584"/>
      <c r="AD57" s="1584"/>
      <c r="AE57" s="1584"/>
      <c r="AF57" s="1584"/>
      <c r="AG57" s="1585"/>
      <c r="AH57" s="1623"/>
      <c r="AI57" s="1584"/>
      <c r="AJ57" s="1584"/>
      <c r="AK57" s="1584"/>
      <c r="AL57" s="1584"/>
      <c r="AM57" s="1585"/>
    </row>
    <row r="58" spans="1:39" ht="15.65" customHeight="1" x14ac:dyDescent="0.25">
      <c r="A58" s="1164"/>
      <c r="B58" s="1084"/>
      <c r="C58" s="125" t="s">
        <v>1316</v>
      </c>
      <c r="D58" s="1086"/>
      <c r="E58" s="1086"/>
      <c r="F58" s="1086"/>
      <c r="G58" s="1086"/>
      <c r="H58" s="1086"/>
      <c r="I58" s="1086"/>
      <c r="J58" s="1086"/>
      <c r="K58" s="1086"/>
      <c r="L58" s="1086"/>
      <c r="M58" s="1086"/>
      <c r="N58" s="1086"/>
      <c r="O58" s="1086"/>
      <c r="P58" s="1086"/>
      <c r="Q58" s="1087"/>
      <c r="Y58" s="1746"/>
      <c r="Z58" s="1584"/>
      <c r="AA58" s="1584"/>
      <c r="AB58" s="1584"/>
      <c r="AC58" s="1584"/>
      <c r="AD58" s="1584"/>
      <c r="AE58" s="1584"/>
      <c r="AF58" s="1584"/>
      <c r="AG58" s="1585"/>
      <c r="AH58" s="1623"/>
      <c r="AI58" s="1584"/>
      <c r="AJ58" s="1584"/>
      <c r="AK58" s="1584"/>
      <c r="AL58" s="1584"/>
      <c r="AM58" s="1585"/>
    </row>
    <row r="59" spans="1:39" ht="15.65" customHeight="1" x14ac:dyDescent="0.25">
      <c r="A59" s="1164"/>
      <c r="B59" s="1089"/>
      <c r="C59" s="1090"/>
      <c r="D59" s="1090"/>
      <c r="E59" s="1091" t="s">
        <v>253</v>
      </c>
      <c r="F59" s="1091" t="s">
        <v>81</v>
      </c>
      <c r="G59" s="1092"/>
      <c r="H59" s="1092"/>
      <c r="I59" s="1092"/>
      <c r="J59" s="1093"/>
      <c r="K59" s="1090"/>
      <c r="L59" s="1090"/>
      <c r="M59" s="1090"/>
      <c r="N59" s="1090"/>
      <c r="O59" s="1091" t="s">
        <v>82</v>
      </c>
      <c r="P59" s="1090"/>
      <c r="Q59" s="1094"/>
      <c r="Y59" s="1738" t="s">
        <v>254</v>
      </c>
      <c r="Z59" s="1738" t="s">
        <v>503</v>
      </c>
      <c r="AA59" s="1582" t="s">
        <v>256</v>
      </c>
      <c r="AB59" s="1584"/>
      <c r="AC59" s="1584"/>
      <c r="AD59" s="1584"/>
      <c r="AE59" s="1584"/>
      <c r="AF59" s="1584"/>
      <c r="AG59" s="1585"/>
      <c r="AH59" s="1623"/>
      <c r="AI59" s="1584"/>
      <c r="AJ59" s="1584"/>
      <c r="AK59" s="1584"/>
      <c r="AL59" s="1584"/>
      <c r="AM59" s="1585"/>
    </row>
    <row r="60" spans="1:39" ht="15.65" customHeight="1" x14ac:dyDescent="0.25">
      <c r="B60" s="1192"/>
      <c r="C60" s="1193"/>
      <c r="D60" s="1193"/>
      <c r="E60" s="1193"/>
      <c r="F60" s="1193"/>
      <c r="G60" s="1193"/>
      <c r="H60" s="1124"/>
      <c r="I60" s="1124"/>
      <c r="J60" s="1193"/>
      <c r="K60" s="1193"/>
      <c r="L60" s="1193"/>
      <c r="M60" s="1193"/>
      <c r="N60" s="1194"/>
      <c r="O60" s="1194"/>
      <c r="P60" s="1194"/>
      <c r="Q60" s="1195"/>
      <c r="Y60" s="1580" t="s">
        <v>128</v>
      </c>
      <c r="Z60" s="1580"/>
      <c r="AA60" s="1582" t="s">
        <v>116</v>
      </c>
      <c r="AB60" s="1584"/>
      <c r="AC60" s="1584"/>
      <c r="AD60" s="1584"/>
      <c r="AE60" s="1584"/>
      <c r="AF60" s="1584"/>
      <c r="AG60" s="1585"/>
      <c r="AH60" s="1623"/>
      <c r="AI60" s="1584"/>
      <c r="AJ60" s="1584"/>
      <c r="AK60" s="1584"/>
      <c r="AL60" s="1584"/>
      <c r="AM60" s="1585"/>
    </row>
    <row r="61" spans="1:39" ht="15.65" customHeight="1" x14ac:dyDescent="0.25">
      <c r="B61" s="1095"/>
      <c r="C61" s="1189" t="s">
        <v>579</v>
      </c>
      <c r="D61" s="1187"/>
      <c r="E61" s="549"/>
      <c r="F61" s="1067"/>
      <c r="G61" s="1533" t="str">
        <f>IF(IFERROR(OR('Electricity Usage'!$G$71&gt;1,E61*VLOOKUP(F61,massConv[],3,FALSE)&gt;overall_CHPSteamGenerated),FALSE),'Hidden Lists and Summaries'!$D$159,"")</f>
        <v/>
      </c>
      <c r="H61" s="1129"/>
      <c r="I61" s="1129"/>
      <c r="J61" s="1101"/>
      <c r="K61" s="1101"/>
      <c r="L61" s="1101"/>
      <c r="M61" s="1101"/>
      <c r="N61" s="1182" t="s">
        <v>209</v>
      </c>
      <c r="O61" s="1183" t="str">
        <f>IFERROR($Z$61*AA61,'Hidden Lists and Summaries'!$C$158)</f>
        <v>Error -  Review inputs</v>
      </c>
      <c r="P61" s="1184" t="s">
        <v>90</v>
      </c>
      <c r="Q61" s="1099"/>
      <c r="Y61" s="1637">
        <f>IFERROR(E61*VLOOKUP(F61,massConv[],3,FALSE),0)</f>
        <v>0</v>
      </c>
      <c r="Z61" s="1594" t="e">
        <f>IF(overall_CHPSteamGenerated=0,0,Y61/overall_CHPSteamGenerated)</f>
        <v>#N/A</v>
      </c>
      <c r="AA61" s="1639">
        <f>overall_embodiedCHPSteam</f>
        <v>0</v>
      </c>
      <c r="AB61" s="1196" t="s">
        <v>257</v>
      </c>
      <c r="AC61" s="1584"/>
      <c r="AD61" s="1586"/>
      <c r="AE61" s="1584"/>
      <c r="AF61" s="1584"/>
      <c r="AG61" s="1585"/>
      <c r="AH61" s="1623"/>
      <c r="AI61" s="1584" t="str">
        <f>O61</f>
        <v>Error -  Review inputs</v>
      </c>
      <c r="AJ61" s="1584"/>
      <c r="AK61" s="1583" t="str">
        <f>'Hidden Lists and Summaries'!$B$5</f>
        <v>Embodied (Upstream)</v>
      </c>
      <c r="AL61" s="1584"/>
      <c r="AM61" s="1585" t="s">
        <v>243</v>
      </c>
    </row>
    <row r="62" spans="1:39" ht="15.65" customHeight="1" x14ac:dyDescent="0.25">
      <c r="B62" s="1095"/>
      <c r="C62" s="1101"/>
      <c r="D62" s="1101"/>
      <c r="E62" s="1101"/>
      <c r="F62" s="1101"/>
      <c r="G62" s="1101"/>
      <c r="H62" s="1129"/>
      <c r="I62" s="1129"/>
      <c r="J62" s="1101"/>
      <c r="K62" s="1101"/>
      <c r="L62" s="1101"/>
      <c r="M62" s="1101"/>
      <c r="N62" s="1130" t="s">
        <v>258</v>
      </c>
      <c r="O62" s="1131" t="str">
        <f>IFERROR($Z$61*AA62,'Hidden Lists and Summaries'!$C$158)</f>
        <v>Error -  Review inputs</v>
      </c>
      <c r="P62" s="1132" t="s">
        <v>90</v>
      </c>
      <c r="Q62" s="1099"/>
      <c r="Y62" s="1653"/>
      <c r="Z62" s="1610"/>
      <c r="AA62" s="1655">
        <f>overall_CHP_EmissionsSteam</f>
        <v>0</v>
      </c>
      <c r="AB62" s="1196" t="s">
        <v>259</v>
      </c>
      <c r="AC62" s="1584"/>
      <c r="AD62" s="1586"/>
      <c r="AE62" s="1584"/>
      <c r="AF62" s="1584"/>
      <c r="AG62" s="1585"/>
      <c r="AH62" s="1623"/>
      <c r="AI62" s="1584" t="str">
        <f>O62</f>
        <v>Error -  Review inputs</v>
      </c>
      <c r="AJ62" s="1584"/>
      <c r="AK62" s="1583" t="s">
        <v>248</v>
      </c>
      <c r="AL62" s="1584"/>
      <c r="AM62" s="1585"/>
    </row>
    <row r="63" spans="1:39" ht="15.65" customHeight="1" x14ac:dyDescent="0.25">
      <c r="B63" s="1105"/>
      <c r="C63" s="1106"/>
      <c r="D63" s="1106"/>
      <c r="E63" s="1106"/>
      <c r="F63" s="1106"/>
      <c r="G63" s="1106"/>
      <c r="H63" s="1115"/>
      <c r="I63" s="1115"/>
      <c r="J63" s="1106"/>
      <c r="K63" s="1106"/>
      <c r="L63" s="1106"/>
      <c r="M63" s="1106"/>
      <c r="N63" s="1144" t="s">
        <v>120</v>
      </c>
      <c r="O63" s="1145">
        <f>SUM(O61:O62)</f>
        <v>0</v>
      </c>
      <c r="P63" s="1146" t="s">
        <v>90</v>
      </c>
      <c r="Q63" s="1107"/>
      <c r="Y63" s="1623"/>
      <c r="Z63" s="1584"/>
      <c r="AA63" s="1584"/>
      <c r="AB63" s="1584"/>
      <c r="AC63" s="1584"/>
      <c r="AD63" s="1584"/>
      <c r="AE63" s="1584"/>
      <c r="AF63" s="1584"/>
      <c r="AG63" s="1585"/>
      <c r="AH63" s="1623"/>
      <c r="AI63" s="1584"/>
      <c r="AJ63" s="1584"/>
      <c r="AK63" s="1584"/>
      <c r="AL63" s="1584"/>
      <c r="AM63" s="1585"/>
    </row>
    <row r="64" spans="1:39" ht="15.65" customHeight="1" x14ac:dyDescent="0.25">
      <c r="B64" s="1118"/>
      <c r="C64" s="1118"/>
      <c r="D64" s="1118"/>
      <c r="E64" s="1118"/>
      <c r="F64" s="1118"/>
      <c r="G64" s="1118"/>
      <c r="H64" s="1118"/>
      <c r="I64" s="1118"/>
      <c r="J64" s="1118"/>
      <c r="K64" s="1118"/>
      <c r="L64" s="1118"/>
      <c r="M64" s="1118"/>
      <c r="N64" s="1118"/>
      <c r="O64" s="1118"/>
      <c r="P64" s="1118"/>
      <c r="Q64" s="1118"/>
      <c r="Y64" s="1623"/>
      <c r="Z64" s="1584"/>
      <c r="AA64" s="1584"/>
      <c r="AB64" s="1584"/>
      <c r="AC64" s="1584"/>
      <c r="AD64" s="1584"/>
      <c r="AE64" s="1584"/>
      <c r="AF64" s="1584"/>
      <c r="AG64" s="1585"/>
      <c r="AH64" s="1623"/>
      <c r="AI64" s="1584"/>
      <c r="AJ64" s="1584"/>
      <c r="AK64" s="1584"/>
      <c r="AL64" s="1584"/>
      <c r="AM64" s="1585"/>
    </row>
    <row r="65" spans="2:39" ht="15.65" customHeight="1" x14ac:dyDescent="0.25">
      <c r="B65" s="1081"/>
      <c r="C65" s="1082"/>
      <c r="D65" s="1082"/>
      <c r="E65" s="1082"/>
      <c r="F65" s="1082"/>
      <c r="G65" s="1150" t="s">
        <v>1339</v>
      </c>
      <c r="H65" s="1082"/>
      <c r="I65" s="1082"/>
      <c r="J65" s="1082"/>
      <c r="K65" s="1082"/>
      <c r="L65" s="1082"/>
      <c r="M65" s="1082"/>
      <c r="N65" s="1082"/>
      <c r="O65" s="1082"/>
      <c r="P65" s="1082"/>
      <c r="Q65" s="1083"/>
      <c r="Y65" s="1623"/>
      <c r="Z65" s="1584"/>
      <c r="AA65" s="1584"/>
      <c r="AB65" s="1584"/>
      <c r="AC65" s="1584"/>
      <c r="AD65" s="1584"/>
      <c r="AE65" s="1584"/>
      <c r="AF65" s="1584"/>
      <c r="AG65" s="1585"/>
      <c r="AH65" s="1623"/>
      <c r="AI65" s="1584"/>
      <c r="AJ65" s="1584"/>
      <c r="AK65" s="1584"/>
      <c r="AL65" s="1584"/>
      <c r="AM65" s="1585"/>
    </row>
    <row r="66" spans="2:39" ht="15.65" customHeight="1" x14ac:dyDescent="0.25">
      <c r="B66" s="1084"/>
      <c r="C66" s="1198" t="s">
        <v>1319</v>
      </c>
      <c r="D66" s="1151"/>
      <c r="E66" s="1152"/>
      <c r="F66" s="1151"/>
      <c r="G66" s="1151"/>
      <c r="H66" s="1881" t="s">
        <v>1326</v>
      </c>
      <c r="I66" s="1151"/>
      <c r="J66" s="1151"/>
      <c r="K66" s="1151"/>
      <c r="L66" s="1151"/>
      <c r="M66" s="1151"/>
      <c r="N66" s="1151"/>
      <c r="O66" s="1151"/>
      <c r="P66" s="1151"/>
      <c r="Q66" s="1087"/>
      <c r="Y66" s="1623"/>
      <c r="Z66" s="1584"/>
      <c r="AA66" s="1584"/>
      <c r="AB66" s="1584"/>
      <c r="AC66" s="1584"/>
      <c r="AD66" s="1584"/>
      <c r="AE66" s="1584"/>
      <c r="AF66" s="1584"/>
      <c r="AG66" s="1585"/>
      <c r="AH66" s="1623"/>
      <c r="AI66" s="1584"/>
      <c r="AJ66" s="1584"/>
      <c r="AK66" s="1584"/>
      <c r="AL66" s="1584"/>
      <c r="AM66" s="1585"/>
    </row>
    <row r="67" spans="2:39" ht="15.65" customHeight="1" x14ac:dyDescent="0.25">
      <c r="B67" s="1089"/>
      <c r="C67" s="1090"/>
      <c r="D67" s="1090"/>
      <c r="E67" s="1200" t="s">
        <v>198</v>
      </c>
      <c r="F67" s="1091" t="s">
        <v>253</v>
      </c>
      <c r="G67" s="1091" t="s">
        <v>184</v>
      </c>
      <c r="H67" s="1882"/>
      <c r="I67" s="1111" t="s">
        <v>262</v>
      </c>
      <c r="J67" s="1111" t="s">
        <v>263</v>
      </c>
      <c r="K67" s="1090"/>
      <c r="L67" s="1090"/>
      <c r="M67" s="1090"/>
      <c r="N67" s="1090"/>
      <c r="O67" s="1091" t="s">
        <v>82</v>
      </c>
      <c r="P67" s="1090"/>
      <c r="Q67" s="1094"/>
      <c r="Y67" s="1582" t="s">
        <v>122</v>
      </c>
      <c r="Z67" s="1582" t="s">
        <v>264</v>
      </c>
      <c r="AA67" s="1582" t="s">
        <v>265</v>
      </c>
      <c r="AB67" s="1725" t="s">
        <v>266</v>
      </c>
      <c r="AC67" s="1582" t="s">
        <v>123</v>
      </c>
      <c r="AD67" s="1725" t="s">
        <v>77</v>
      </c>
      <c r="AE67" s="1582" t="s">
        <v>267</v>
      </c>
      <c r="AF67" s="1731" t="s">
        <v>268</v>
      </c>
      <c r="AH67" s="1623"/>
      <c r="AI67" s="1584"/>
      <c r="AJ67" s="1584"/>
      <c r="AK67" s="1584"/>
      <c r="AL67" s="1584"/>
      <c r="AM67" s="1585"/>
    </row>
    <row r="68" spans="2:39" ht="15.65" customHeight="1" x14ac:dyDescent="0.25">
      <c r="B68" s="1095"/>
      <c r="C68" s="1096"/>
      <c r="D68" s="1096"/>
      <c r="E68" s="1173"/>
      <c r="F68" s="1096"/>
      <c r="G68" s="1096"/>
      <c r="H68" s="1096"/>
      <c r="I68" s="1098"/>
      <c r="J68" s="1098"/>
      <c r="K68" s="1096"/>
      <c r="L68" s="1096"/>
      <c r="M68" s="1096"/>
      <c r="N68" s="1125"/>
      <c r="O68" s="1322" t="s">
        <v>269</v>
      </c>
      <c r="P68" s="1155"/>
      <c r="Q68" s="1099"/>
      <c r="Y68" s="1582" t="s">
        <v>128</v>
      </c>
      <c r="Z68" s="1582" t="s">
        <v>270</v>
      </c>
      <c r="AA68" s="1582" t="s">
        <v>270</v>
      </c>
      <c r="AB68" s="1725" t="s">
        <v>271</v>
      </c>
      <c r="AC68" s="1725" t="s">
        <v>272</v>
      </c>
      <c r="AD68" s="1725" t="s">
        <v>273</v>
      </c>
      <c r="AE68" s="1582" t="s">
        <v>270</v>
      </c>
      <c r="AF68" s="1731" t="s">
        <v>270</v>
      </c>
      <c r="AH68" s="1623"/>
      <c r="AI68" s="1584"/>
      <c r="AJ68" s="1584"/>
      <c r="AK68" s="1584"/>
      <c r="AL68" s="1584"/>
      <c r="AM68" s="1585"/>
    </row>
    <row r="69" spans="2:39" ht="15.65" customHeight="1" x14ac:dyDescent="0.25">
      <c r="B69" s="1095"/>
      <c r="C69" s="1113" t="s">
        <v>274</v>
      </c>
      <c r="D69" s="1202"/>
      <c r="E69" s="751"/>
      <c r="F69" s="800"/>
      <c r="G69" s="800"/>
      <c r="H69" s="954"/>
      <c r="I69" s="955"/>
      <c r="J69" s="956"/>
      <c r="K69" s="1096"/>
      <c r="L69" s="1096"/>
      <c r="M69" s="1096"/>
      <c r="N69" s="1130"/>
      <c r="O69" s="1131">
        <f>IF(AND(F69="",G69="",H69="",I69="",J69=""),0,IFERROR(AD69*Y69,'Hidden Lists and Summaries'!$C$158))</f>
        <v>0</v>
      </c>
      <c r="P69" s="1132" t="s">
        <v>90</v>
      </c>
      <c r="Q69" s="1099"/>
      <c r="Y69" s="1637" t="e">
        <f>F69*VLOOKUP(G69,massConv[#All],3,FALSE)</f>
        <v>#N/A</v>
      </c>
      <c r="Z69" s="1594" t="e">
        <f>VLOOKUP(I69,BoilerFuelReferenceTable[#All],2,FALSE)</f>
        <v>#N/A</v>
      </c>
      <c r="AA69" s="104" t="e">
        <f>IF(I69='Key Values'!$B$209,AE69,AF69/VLOOKUP(G69,massConv[#All],3,FALSE))</f>
        <v>#N/A</v>
      </c>
      <c r="AB69" s="1579" t="e">
        <f>Z69+AA69</f>
        <v>#N/A</v>
      </c>
      <c r="AC69" s="1594" t="e">
        <f>VLOOKUP(J69,SteamProperties[#All],6,FALSE)</f>
        <v>#N/A</v>
      </c>
      <c r="AD69" s="1747" t="e">
        <f>IF(H69="",AB69*AC69,H69)</f>
        <v>#N/A</v>
      </c>
      <c r="AE69" s="1635">
        <f>IFERROR(VLOOKUP(iq_location,GaseousFuelEmbodiedEmissions[#All],IF(iq_metro="yes",2,3),FALSE),0)</f>
        <v>0</v>
      </c>
      <c r="AF69" s="1639" t="e">
        <f>VLOOKUP(I69,BoilerFuelReferenceTable[#All],3,FALSE)</f>
        <v>#N/A</v>
      </c>
      <c r="AH69" s="1623"/>
      <c r="AI69" s="1584"/>
      <c r="AJ69" s="1584"/>
      <c r="AK69" s="1584"/>
      <c r="AL69" s="1584"/>
      <c r="AM69" s="1585"/>
    </row>
    <row r="70" spans="2:39" ht="15.65" customHeight="1" x14ac:dyDescent="0.25">
      <c r="B70" s="1095"/>
      <c r="C70" s="1113" t="s">
        <v>275</v>
      </c>
      <c r="D70" s="1202"/>
      <c r="E70" s="752"/>
      <c r="F70" s="801"/>
      <c r="G70" s="802"/>
      <c r="H70" s="957"/>
      <c r="I70" s="958"/>
      <c r="J70" s="959"/>
      <c r="K70" s="1096"/>
      <c r="L70" s="1096"/>
      <c r="M70" s="1096"/>
      <c r="N70" s="1130"/>
      <c r="O70" s="1131">
        <f>IF(AND(F70="",G70="",H70="",I70="",J70=""),0,IFERROR(AD70*Y70,'Hidden Lists and Summaries'!$C$158))</f>
        <v>0</v>
      </c>
      <c r="P70" s="1132" t="s">
        <v>90</v>
      </c>
      <c r="Q70" s="1099"/>
      <c r="Y70" s="1623" t="e">
        <f>F70*VLOOKUP(G70,massConv[#All],3,FALSE)</f>
        <v>#N/A</v>
      </c>
      <c r="Z70" s="1584" t="e">
        <f>VLOOKUP(I70,BoilerFuelReferenceTable[#All],2,FALSE)</f>
        <v>#N/A</v>
      </c>
      <c r="AA70" s="91" t="e">
        <f>IF(I70='Key Values'!$B$209,AE70,AF70)</f>
        <v>#N/A</v>
      </c>
      <c r="AB70" s="1579" t="e">
        <f>Z70+AA70</f>
        <v>#N/A</v>
      </c>
      <c r="AC70" s="1584" t="e">
        <f>VLOOKUP(J70,SteamProperties[#All],6,FALSE)</f>
        <v>#N/A</v>
      </c>
      <c r="AD70" s="1748" t="e">
        <f t="shared" ref="AD70:AD71" si="0">IF(H70="",AB70*AC70,H70)</f>
        <v>#N/A</v>
      </c>
      <c r="AE70" s="1646">
        <f>IFERROR(VLOOKUP(iq_location,GaseousFuelEmbodiedEmissions[#All],IF(iq_metro="yes",2,3),FALSE),0)</f>
        <v>0</v>
      </c>
      <c r="AF70" s="1585" t="e">
        <f>VLOOKUP(I70,BoilerFuelReferenceTable[#All],3,FALSE)</f>
        <v>#N/A</v>
      </c>
      <c r="AH70" s="1623"/>
      <c r="AI70" s="1584"/>
      <c r="AJ70" s="1584"/>
      <c r="AK70" s="1584"/>
      <c r="AL70" s="1584"/>
      <c r="AM70" s="1585"/>
    </row>
    <row r="71" spans="2:39" ht="15.65" customHeight="1" x14ac:dyDescent="0.25">
      <c r="B71" s="1095"/>
      <c r="C71" s="1113" t="s">
        <v>276</v>
      </c>
      <c r="D71" s="1202"/>
      <c r="E71" s="780"/>
      <c r="F71" s="803"/>
      <c r="G71" s="804"/>
      <c r="H71" s="960"/>
      <c r="I71" s="961"/>
      <c r="J71" s="962"/>
      <c r="K71" s="1096"/>
      <c r="L71" s="1096"/>
      <c r="M71" s="1096"/>
      <c r="N71" s="1130"/>
      <c r="O71" s="1131">
        <f>IF(AND(F71="",G71="",H71="",I71="",J71=""),0,IFERROR(AD71*Y71,'Hidden Lists and Summaries'!$C$158))</f>
        <v>0</v>
      </c>
      <c r="P71" s="1132" t="s">
        <v>90</v>
      </c>
      <c r="Q71" s="1099"/>
      <c r="Y71" s="1653" t="e">
        <f>F71*VLOOKUP(G71,massConv[#All],3,FALSE)</f>
        <v>#N/A</v>
      </c>
      <c r="Z71" s="1610" t="e">
        <f>VLOOKUP(I71,BoilerFuelReferenceTable[#All],2,FALSE)</f>
        <v>#N/A</v>
      </c>
      <c r="AA71" s="185" t="e">
        <f>IF(I71='Key Values'!$B$209,AE71,AF71)</f>
        <v>#N/A</v>
      </c>
      <c r="AB71" s="1610" t="e">
        <f>Z71+AA71</f>
        <v>#N/A</v>
      </c>
      <c r="AC71" s="1610" t="e">
        <f>VLOOKUP(J71,SteamProperties[#All],6,FALSE)</f>
        <v>#N/A</v>
      </c>
      <c r="AD71" s="1749" t="e">
        <f t="shared" si="0"/>
        <v>#N/A</v>
      </c>
      <c r="AE71" s="1656">
        <f>IFERROR(VLOOKUP(iq_location,GaseousFuelEmbodiedEmissions[#All],IF(iq_metro="yes",2,3),FALSE),0)</f>
        <v>0</v>
      </c>
      <c r="AF71" s="1655" t="e">
        <f>VLOOKUP(I71,BoilerFuelReferenceTable[#All],3,FALSE)</f>
        <v>#N/A</v>
      </c>
      <c r="AH71" s="1623"/>
      <c r="AI71" s="1584"/>
      <c r="AJ71" s="1584"/>
      <c r="AK71" s="1584"/>
      <c r="AL71" s="1584"/>
      <c r="AM71" s="1585"/>
    </row>
    <row r="72" spans="2:39" ht="15.65" customHeight="1" x14ac:dyDescent="0.25">
      <c r="B72" s="1105"/>
      <c r="C72" s="1106"/>
      <c r="D72" s="1106"/>
      <c r="E72" s="1206"/>
      <c r="F72" s="1106"/>
      <c r="G72" s="1106"/>
      <c r="H72" s="1115"/>
      <c r="I72" s="1115"/>
      <c r="J72" s="1106"/>
      <c r="K72" s="1106"/>
      <c r="L72" s="1106"/>
      <c r="M72" s="1106"/>
      <c r="N72" s="1144" t="s">
        <v>120</v>
      </c>
      <c r="O72" s="1145">
        <f>SUM(O69:O71)</f>
        <v>0</v>
      </c>
      <c r="P72" s="1146" t="s">
        <v>90</v>
      </c>
      <c r="Q72" s="1107"/>
      <c r="Y72" s="1623"/>
      <c r="Z72" s="1584"/>
      <c r="AA72" s="1584"/>
      <c r="AB72" s="1584"/>
      <c r="AC72" s="1584"/>
      <c r="AD72" s="1584"/>
      <c r="AE72" s="1594"/>
      <c r="AF72" s="1594"/>
      <c r="AG72" s="1585"/>
      <c r="AH72" s="1623"/>
      <c r="AI72" s="1584">
        <f>O72</f>
        <v>0</v>
      </c>
      <c r="AJ72" s="1584"/>
      <c r="AK72" s="1584" t="str">
        <f>'Hidden Lists and Summaries'!$B$6</f>
        <v>Steam Supply</v>
      </c>
      <c r="AL72" s="1584"/>
      <c r="AM72" s="1585"/>
    </row>
    <row r="73" spans="2:39" ht="15.65" customHeight="1" x14ac:dyDescent="0.25">
      <c r="B73" s="1118"/>
      <c r="C73" s="1118"/>
      <c r="D73" s="1118"/>
      <c r="E73" s="1118"/>
      <c r="F73" s="1118"/>
      <c r="G73" s="1118"/>
      <c r="H73" s="1118"/>
      <c r="I73" s="1118"/>
      <c r="J73" s="1118"/>
      <c r="K73" s="1118"/>
      <c r="L73" s="1118"/>
      <c r="M73" s="1118"/>
      <c r="N73" s="1118"/>
      <c r="O73" s="1118"/>
      <c r="P73" s="1118"/>
      <c r="Q73" s="1118"/>
      <c r="Y73" s="1623"/>
      <c r="Z73" s="1584"/>
      <c r="AA73" s="1584"/>
      <c r="AB73" s="1584"/>
      <c r="AC73" s="1584"/>
      <c r="AD73" s="1584"/>
      <c r="AE73" s="1584"/>
      <c r="AF73" s="1584"/>
      <c r="AG73" s="1585"/>
      <c r="AH73" s="1623"/>
      <c r="AI73" s="1584"/>
      <c r="AJ73" s="1584"/>
      <c r="AK73" s="1584"/>
      <c r="AL73" s="1584"/>
      <c r="AM73" s="1585"/>
    </row>
    <row r="74" spans="2:39" ht="15.65" customHeight="1" x14ac:dyDescent="0.25">
      <c r="B74" s="1207"/>
      <c r="C74" s="1208"/>
      <c r="D74" s="1208"/>
      <c r="E74" s="1208"/>
      <c r="F74" s="1208"/>
      <c r="G74" s="1208"/>
      <c r="H74" s="1208"/>
      <c r="I74" s="1208"/>
      <c r="J74" s="1208"/>
      <c r="K74" s="1208"/>
      <c r="L74" s="1208"/>
      <c r="M74" s="1208"/>
      <c r="N74" s="1208"/>
      <c r="O74" s="1208"/>
      <c r="P74" s="1208"/>
      <c r="Q74" s="1209"/>
      <c r="S74" s="101"/>
      <c r="Y74" s="1623"/>
      <c r="Z74" s="1584"/>
      <c r="AA74" s="1584"/>
      <c r="AB74" s="1584"/>
      <c r="AC74" s="1584"/>
      <c r="AD74" s="1584"/>
      <c r="AE74" s="1584"/>
      <c r="AF74" s="1584"/>
      <c r="AG74" s="1585"/>
      <c r="AH74" s="1623"/>
      <c r="AI74" s="1584"/>
      <c r="AJ74" s="1584"/>
      <c r="AK74" s="1584"/>
      <c r="AL74" s="1584"/>
      <c r="AM74" s="1585"/>
    </row>
    <row r="75" spans="2:39" ht="15.65" customHeight="1" x14ac:dyDescent="0.25">
      <c r="B75" s="1210"/>
      <c r="C75" s="1211" t="s">
        <v>1320</v>
      </c>
      <c r="D75" s="1212"/>
      <c r="E75" s="1212"/>
      <c r="F75" s="1212"/>
      <c r="G75" s="1212"/>
      <c r="H75" s="1881" t="s">
        <v>1326</v>
      </c>
      <c r="I75" s="1212"/>
      <c r="J75" s="1212"/>
      <c r="K75" s="1212"/>
      <c r="L75" s="1212"/>
      <c r="M75" s="1212"/>
      <c r="N75" s="1212"/>
      <c r="O75" s="1212"/>
      <c r="P75" s="1212"/>
      <c r="Q75" s="1213"/>
      <c r="S75" s="101"/>
      <c r="Y75" s="1623"/>
      <c r="Z75" s="1584"/>
      <c r="AA75" s="1584"/>
      <c r="AB75" s="1584"/>
      <c r="AC75" s="1584"/>
      <c r="AD75" s="1584"/>
      <c r="AE75" s="1584"/>
      <c r="AF75" s="1584"/>
      <c r="AG75" s="1585"/>
      <c r="AH75" s="1623"/>
      <c r="AI75" s="1584"/>
      <c r="AJ75" s="1584"/>
      <c r="AK75" s="1584"/>
      <c r="AL75" s="1584"/>
      <c r="AM75" s="1585"/>
    </row>
    <row r="76" spans="2:39" ht="15.65" customHeight="1" x14ac:dyDescent="0.25">
      <c r="B76" s="1214"/>
      <c r="C76" s="1215"/>
      <c r="D76" s="1215"/>
      <c r="E76" s="1111" t="s">
        <v>278</v>
      </c>
      <c r="F76" s="1111" t="s">
        <v>279</v>
      </c>
      <c r="G76" s="1091" t="s">
        <v>184</v>
      </c>
      <c r="H76" s="1882"/>
      <c r="I76" s="1215"/>
      <c r="J76" s="1215"/>
      <c r="K76" s="1215"/>
      <c r="L76" s="1215"/>
      <c r="M76" s="1215"/>
      <c r="N76" s="1215"/>
      <c r="O76" s="1091" t="s">
        <v>82</v>
      </c>
      <c r="P76" s="1215"/>
      <c r="Q76" s="1216"/>
      <c r="S76" s="101"/>
      <c r="Y76" s="1725" t="s">
        <v>77</v>
      </c>
      <c r="Z76" s="1582" t="s">
        <v>94</v>
      </c>
      <c r="AA76" s="1584"/>
      <c r="AB76" s="1584"/>
      <c r="AC76" s="1584"/>
      <c r="AD76" s="1584"/>
      <c r="AE76" s="1584"/>
      <c r="AF76" s="1584"/>
      <c r="AG76" s="1585"/>
      <c r="AH76" s="1623"/>
      <c r="AI76" s="1584"/>
      <c r="AJ76" s="1584"/>
      <c r="AK76" s="1584"/>
      <c r="AL76" s="1584"/>
      <c r="AM76" s="1585"/>
    </row>
    <row r="77" spans="2:39" ht="15.65" customHeight="1" x14ac:dyDescent="0.25">
      <c r="B77" s="1217"/>
      <c r="C77" s="1218"/>
      <c r="D77" s="1218"/>
      <c r="E77" s="1218"/>
      <c r="F77" s="1218"/>
      <c r="G77" s="1218"/>
      <c r="H77" s="1218"/>
      <c r="I77" s="1218"/>
      <c r="J77" s="1218"/>
      <c r="K77" s="1218"/>
      <c r="L77" s="1218"/>
      <c r="M77" s="1218"/>
      <c r="N77" s="1125"/>
      <c r="O77" s="1322" t="s">
        <v>209</v>
      </c>
      <c r="P77" s="1155"/>
      <c r="Q77" s="1219"/>
      <c r="S77" s="101"/>
      <c r="Y77" s="1803" t="s">
        <v>280</v>
      </c>
      <c r="Z77" s="1581" t="s">
        <v>580</v>
      </c>
      <c r="AA77" s="1584"/>
      <c r="AB77" s="1584"/>
      <c r="AC77" s="1584"/>
      <c r="AD77" s="1584"/>
      <c r="AE77" s="1584"/>
      <c r="AF77" s="1584"/>
      <c r="AG77" s="1585"/>
      <c r="AH77" s="1623"/>
      <c r="AI77" s="1584"/>
      <c r="AJ77" s="1584"/>
      <c r="AK77" s="1584"/>
      <c r="AL77" s="1584"/>
      <c r="AM77" s="1585"/>
    </row>
    <row r="78" spans="2:39" ht="15.65" customHeight="1" x14ac:dyDescent="0.25">
      <c r="B78" s="1158"/>
      <c r="C78" s="1220" t="s">
        <v>282</v>
      </c>
      <c r="D78" s="1220"/>
      <c r="E78" s="361"/>
      <c r="F78" s="362"/>
      <c r="G78" s="363"/>
      <c r="H78" s="963"/>
      <c r="I78" s="1220"/>
      <c r="J78" s="1220"/>
      <c r="K78" s="1220"/>
      <c r="L78" s="1220"/>
      <c r="M78" s="1220"/>
      <c r="N78" s="1130"/>
      <c r="O78" s="1131">
        <f>IF(F78="",0,IFERROR(Y78*Z78,'Hidden Lists and Summaries'!$C$158))</f>
        <v>0</v>
      </c>
      <c r="P78" s="1132" t="s">
        <v>90</v>
      </c>
      <c r="Q78" s="1221"/>
      <c r="S78" s="101"/>
      <c r="Y78" s="1623">
        <f>H78</f>
        <v>0</v>
      </c>
      <c r="Z78" s="1584">
        <f>F78</f>
        <v>0</v>
      </c>
      <c r="AA78" s="1584"/>
      <c r="AB78" s="1584"/>
      <c r="AC78" s="1584"/>
      <c r="AD78" s="1584"/>
      <c r="AE78" s="1584"/>
      <c r="AF78" s="1584"/>
      <c r="AG78" s="1585"/>
      <c r="AH78" s="1623"/>
      <c r="AI78" s="1584"/>
      <c r="AJ78" s="1584"/>
      <c r="AK78" s="1584"/>
      <c r="AL78" s="1584"/>
      <c r="AM78" s="1585"/>
    </row>
    <row r="79" spans="2:39" ht="15.65" customHeight="1" x14ac:dyDescent="0.25">
      <c r="B79" s="1158"/>
      <c r="C79" s="1220" t="s">
        <v>283</v>
      </c>
      <c r="D79" s="1220"/>
      <c r="E79" s="365"/>
      <c r="F79" s="366"/>
      <c r="G79" s="366"/>
      <c r="H79" s="964"/>
      <c r="I79" s="1220"/>
      <c r="J79" s="1220"/>
      <c r="K79" s="1220"/>
      <c r="L79" s="1220"/>
      <c r="M79" s="1220"/>
      <c r="N79" s="1130"/>
      <c r="O79" s="1131">
        <f>IF(F79="",0,IFERROR(Y79*Z79,'Hidden Lists and Summaries'!$C$158))</f>
        <v>0</v>
      </c>
      <c r="P79" s="1132" t="s">
        <v>90</v>
      </c>
      <c r="Q79" s="1221"/>
      <c r="S79" s="101"/>
      <c r="Y79" s="1623">
        <f>H79</f>
        <v>0</v>
      </c>
      <c r="Z79" s="1584">
        <f>F79</f>
        <v>0</v>
      </c>
      <c r="AA79" s="1584"/>
      <c r="AB79" s="1584"/>
      <c r="AC79" s="1584"/>
      <c r="AD79" s="1584"/>
      <c r="AE79" s="1584"/>
      <c r="AF79" s="1584"/>
      <c r="AG79" s="1585"/>
      <c r="AH79" s="1623"/>
      <c r="AI79" s="1584"/>
      <c r="AJ79" s="1584"/>
      <c r="AK79" s="1584"/>
      <c r="AL79" s="1584"/>
      <c r="AM79" s="1585"/>
    </row>
    <row r="80" spans="2:39" ht="15.65" customHeight="1" x14ac:dyDescent="0.25">
      <c r="B80" s="1158"/>
      <c r="C80" s="1220" t="s">
        <v>284</v>
      </c>
      <c r="D80" s="1220"/>
      <c r="E80" s="368"/>
      <c r="F80" s="366"/>
      <c r="G80" s="366"/>
      <c r="H80" s="965"/>
      <c r="I80" s="1220"/>
      <c r="J80" s="1220"/>
      <c r="K80" s="1220"/>
      <c r="L80" s="1220"/>
      <c r="M80" s="1220"/>
      <c r="N80" s="1130"/>
      <c r="O80" s="1131">
        <f>IF(F80="",0,IFERROR(Y80*Z80,'Hidden Lists and Summaries'!$C$158))</f>
        <v>0</v>
      </c>
      <c r="P80" s="1132" t="s">
        <v>90</v>
      </c>
      <c r="Q80" s="1221"/>
      <c r="S80" s="101"/>
      <c r="Y80" s="1623">
        <f>H80</f>
        <v>0</v>
      </c>
      <c r="Z80" s="1584">
        <f>F80</f>
        <v>0</v>
      </c>
      <c r="AA80" s="1584"/>
      <c r="AB80" s="1584"/>
      <c r="AC80" s="1584"/>
      <c r="AD80" s="1584"/>
      <c r="AE80" s="1584"/>
      <c r="AF80" s="1584"/>
      <c r="AG80" s="1585"/>
      <c r="AH80" s="1623"/>
      <c r="AI80" s="1584"/>
      <c r="AJ80" s="1584"/>
      <c r="AK80" s="1584"/>
      <c r="AL80" s="1584"/>
      <c r="AM80" s="1585"/>
    </row>
    <row r="81" spans="2:39" ht="15.65" customHeight="1" x14ac:dyDescent="0.25">
      <c r="B81" s="1158"/>
      <c r="C81" s="1220" t="s">
        <v>285</v>
      </c>
      <c r="D81" s="1220"/>
      <c r="E81" s="370"/>
      <c r="F81" s="371"/>
      <c r="G81" s="371"/>
      <c r="H81" s="966"/>
      <c r="I81" s="1220"/>
      <c r="J81" s="1220"/>
      <c r="K81" s="1220"/>
      <c r="L81" s="1220"/>
      <c r="M81" s="1220"/>
      <c r="N81" s="1222"/>
      <c r="O81" s="1131">
        <f>IF(F81="",0,IFERROR(Y81*Z81,'Hidden Lists and Summaries'!$C$158))</f>
        <v>0</v>
      </c>
      <c r="P81" s="1132" t="s">
        <v>90</v>
      </c>
      <c r="Q81" s="1221"/>
      <c r="S81" s="101"/>
      <c r="Y81" s="1623">
        <f>H81</f>
        <v>0</v>
      </c>
      <c r="Z81" s="1584">
        <f>F81</f>
        <v>0</v>
      </c>
      <c r="AA81" s="1584"/>
      <c r="AB81" s="1584"/>
      <c r="AC81" s="1584"/>
      <c r="AD81" s="1584"/>
      <c r="AE81" s="1584"/>
      <c r="AF81" s="1584"/>
      <c r="AG81" s="1585"/>
      <c r="AH81" s="1623"/>
      <c r="AI81" s="1584"/>
      <c r="AJ81" s="1584"/>
      <c r="AK81" s="1584"/>
      <c r="AL81" s="1584"/>
      <c r="AM81" s="1585"/>
    </row>
    <row r="82" spans="2:39" ht="15.65" customHeight="1" x14ac:dyDescent="0.25">
      <c r="B82" s="1223"/>
      <c r="C82" s="1161"/>
      <c r="D82" s="1161"/>
      <c r="E82" s="1161"/>
      <c r="F82" s="1161"/>
      <c r="G82" s="1161"/>
      <c r="H82" s="1161"/>
      <c r="I82" s="1161"/>
      <c r="J82" s="1161"/>
      <c r="K82" s="1161"/>
      <c r="L82" s="1161"/>
      <c r="M82" s="1161"/>
      <c r="N82" s="1224" t="s">
        <v>120</v>
      </c>
      <c r="O82" s="1225">
        <f>SUM(O78:O81)</f>
        <v>0</v>
      </c>
      <c r="P82" s="1226" t="s">
        <v>90</v>
      </c>
      <c r="Q82" s="1227"/>
      <c r="S82" s="101"/>
      <c r="Y82" s="1623"/>
      <c r="Z82" s="1584"/>
      <c r="AA82" s="1584"/>
      <c r="AB82" s="1584"/>
      <c r="AC82" s="1584"/>
      <c r="AD82" s="1584"/>
      <c r="AE82" s="1584"/>
      <c r="AF82" s="1584"/>
      <c r="AG82" s="1585"/>
      <c r="AH82" s="1623"/>
      <c r="AI82" s="1584">
        <f>O82</f>
        <v>0</v>
      </c>
      <c r="AJ82" s="1584"/>
      <c r="AK82" s="1584" t="str">
        <f>'Hidden Lists and Summaries'!$B$5</f>
        <v>Embodied (Upstream)</v>
      </c>
      <c r="AL82" s="1584"/>
      <c r="AM82" s="1585" t="s">
        <v>286</v>
      </c>
    </row>
    <row r="83" spans="2:39" ht="15.65" customHeight="1" x14ac:dyDescent="0.25">
      <c r="B83" s="1118"/>
      <c r="C83" s="1118"/>
      <c r="D83" s="1118"/>
      <c r="E83" s="1118"/>
      <c r="F83" s="1118"/>
      <c r="G83" s="1118"/>
      <c r="H83" s="1118"/>
      <c r="I83" s="1118"/>
      <c r="J83" s="1118"/>
      <c r="K83" s="1118"/>
      <c r="L83" s="1118"/>
      <c r="M83" s="1118"/>
      <c r="N83" s="1118"/>
      <c r="O83" s="1118"/>
      <c r="P83" s="1118"/>
      <c r="Q83" s="1118"/>
      <c r="S83" s="101"/>
      <c r="Y83" s="1623"/>
      <c r="Z83" s="1584"/>
      <c r="AA83" s="1584"/>
      <c r="AB83" s="1584"/>
      <c r="AC83" s="1584"/>
      <c r="AD83" s="1584"/>
      <c r="AE83" s="1584"/>
      <c r="AF83" s="1584"/>
      <c r="AG83" s="1585"/>
      <c r="AH83" s="1623"/>
      <c r="AI83" s="1584"/>
      <c r="AJ83" s="1584"/>
      <c r="AK83" s="1584"/>
      <c r="AL83" s="1584"/>
      <c r="AM83" s="1585"/>
    </row>
    <row r="84" spans="2:39" ht="15.65" customHeight="1" x14ac:dyDescent="0.25">
      <c r="B84" s="1081"/>
      <c r="C84" s="1082"/>
      <c r="D84" s="1082"/>
      <c r="E84" s="1082"/>
      <c r="F84" s="1082"/>
      <c r="G84" s="1082"/>
      <c r="H84" s="1150" t="s">
        <v>507</v>
      </c>
      <c r="I84" s="1082"/>
      <c r="J84" s="1082"/>
      <c r="K84" s="1082"/>
      <c r="L84" s="1082"/>
      <c r="M84" s="1082"/>
      <c r="N84" s="1082"/>
      <c r="O84" s="1082"/>
      <c r="P84" s="1082"/>
      <c r="Q84" s="1083"/>
      <c r="Y84" s="1623"/>
      <c r="Z84" s="1584"/>
      <c r="AA84" s="1584"/>
      <c r="AB84" s="1584"/>
      <c r="AC84" s="1584"/>
      <c r="AD84" s="1584"/>
      <c r="AE84" s="1584"/>
      <c r="AF84" s="1584"/>
      <c r="AG84" s="1585"/>
      <c r="AH84" s="1623"/>
      <c r="AI84" s="1584"/>
      <c r="AJ84" s="1584"/>
      <c r="AK84" s="1584"/>
      <c r="AL84" s="1584"/>
      <c r="AM84" s="1585"/>
    </row>
    <row r="85" spans="2:39" ht="15.65" customHeight="1" x14ac:dyDescent="0.25">
      <c r="B85" s="1084"/>
      <c r="C85" s="1109" t="s">
        <v>1353</v>
      </c>
      <c r="D85" s="1086"/>
      <c r="E85" s="1086"/>
      <c r="F85" s="1086"/>
      <c r="G85" s="1881" t="s">
        <v>1309</v>
      </c>
      <c r="H85" s="1895" t="s">
        <v>1338</v>
      </c>
      <c r="I85" s="1086"/>
      <c r="J85" s="1086"/>
      <c r="K85" s="1086"/>
      <c r="L85" s="1086"/>
      <c r="M85" s="1086"/>
      <c r="N85" s="1086"/>
      <c r="O85" s="1086"/>
      <c r="P85" s="1086"/>
      <c r="Q85" s="1087"/>
      <c r="Y85" s="1623"/>
      <c r="Z85" s="1584"/>
      <c r="AA85" s="1584"/>
      <c r="AB85" s="1584"/>
      <c r="AC85" s="1584"/>
      <c r="AD85" s="1584"/>
      <c r="AE85" s="1584"/>
      <c r="AF85" s="1584"/>
      <c r="AG85" s="1585"/>
      <c r="AH85" s="1623"/>
      <c r="AI85" s="1584"/>
      <c r="AJ85" s="1584"/>
      <c r="AK85" s="1584"/>
      <c r="AL85" s="1584"/>
      <c r="AM85" s="1585"/>
    </row>
    <row r="86" spans="2:39" ht="15.65" customHeight="1" x14ac:dyDescent="0.25">
      <c r="B86" s="1089"/>
      <c r="C86" s="1090"/>
      <c r="D86" s="1090"/>
      <c r="E86" s="1091" t="s">
        <v>508</v>
      </c>
      <c r="F86" s="1091" t="s">
        <v>184</v>
      </c>
      <c r="G86" s="1882"/>
      <c r="H86" s="1896"/>
      <c r="I86" s="1093"/>
      <c r="J86" s="1093"/>
      <c r="K86" s="1093"/>
      <c r="L86" s="1093"/>
      <c r="M86" s="1093"/>
      <c r="N86" s="1093"/>
      <c r="O86" s="1091" t="s">
        <v>82</v>
      </c>
      <c r="P86" s="1093"/>
      <c r="Q86" s="1112"/>
      <c r="Y86" s="1738" t="s">
        <v>108</v>
      </c>
      <c r="Z86" s="1582" t="s">
        <v>582</v>
      </c>
      <c r="AA86" s="1582" t="s">
        <v>510</v>
      </c>
      <c r="AB86" s="1584"/>
      <c r="AC86" s="1584"/>
      <c r="AD86" s="1584"/>
      <c r="AE86" s="1584"/>
      <c r="AF86" s="1584"/>
      <c r="AG86" s="1585"/>
      <c r="AH86" s="1623"/>
      <c r="AI86" s="1584"/>
      <c r="AJ86" s="1584"/>
      <c r="AK86" s="1584"/>
      <c r="AL86" s="1584"/>
      <c r="AM86" s="1585"/>
    </row>
    <row r="87" spans="2:39" ht="15.65" customHeight="1" x14ac:dyDescent="0.25">
      <c r="B87" s="1095"/>
      <c r="C87" s="1096"/>
      <c r="D87" s="1096"/>
      <c r="E87" s="1096"/>
      <c r="F87" s="1096"/>
      <c r="G87" s="1113"/>
      <c r="H87" s="1096"/>
      <c r="I87" s="1096"/>
      <c r="J87" s="1096"/>
      <c r="K87" s="1096"/>
      <c r="L87" s="1096"/>
      <c r="M87" s="1096"/>
      <c r="N87" s="1125"/>
      <c r="O87" s="1322" t="s">
        <v>209</v>
      </c>
      <c r="P87" s="1155"/>
      <c r="Q87" s="1099"/>
      <c r="Y87" s="1803" t="s">
        <v>1332</v>
      </c>
      <c r="Z87" s="1581" t="s">
        <v>511</v>
      </c>
      <c r="AA87" s="1581" t="s">
        <v>583</v>
      </c>
      <c r="AB87" s="1584"/>
      <c r="AC87" s="1584"/>
      <c r="AD87" s="1584"/>
      <c r="AE87" s="1584"/>
      <c r="AF87" s="1584"/>
      <c r="AG87" s="1585"/>
      <c r="AH87" s="1623"/>
      <c r="AI87" s="1584"/>
      <c r="AJ87" s="1584"/>
      <c r="AK87" s="1584"/>
      <c r="AL87" s="1584"/>
      <c r="AM87" s="1585"/>
    </row>
    <row r="88" spans="2:39" ht="15.65" customHeight="1" x14ac:dyDescent="0.25">
      <c r="B88" s="1095"/>
      <c r="C88" s="1009"/>
      <c r="D88" s="1096"/>
      <c r="E88" s="439"/>
      <c r="F88" s="440"/>
      <c r="G88" s="1008"/>
      <c r="H88" s="1007"/>
      <c r="I88" s="1095"/>
      <c r="J88" s="1101"/>
      <c r="K88" s="1096"/>
      <c r="L88" s="1096"/>
      <c r="M88" s="1096"/>
      <c r="N88" s="1323"/>
      <c r="O88" s="1139">
        <f>IF(C88="",0,IFERROR(Y88*Z88*AA88,'Hidden Lists and Summaries'!$C$152))</f>
        <v>0</v>
      </c>
      <c r="P88" s="1324" t="s">
        <v>90</v>
      </c>
      <c r="Q88" s="1099"/>
      <c r="Y88" s="1750" t="e">
        <f>IF(G88&lt;&gt;"",G88,VLOOKUP(C88,SolidFuelEmbodiedEmissions[#All],2,FALSE))</f>
        <v>#N/A</v>
      </c>
      <c r="Z88" s="1741" t="e">
        <f>E88*VLOOKUP(F88,massConv[#All],2,FALSE)</f>
        <v>#N/A</v>
      </c>
      <c r="AA88" s="1780" t="e">
        <f>IF(H88&lt;&gt;"",H88,VLOOKUP(C88,SolidFuel[#All],2,FALSE))</f>
        <v>#N/A</v>
      </c>
      <c r="AB88" s="1584"/>
      <c r="AC88" s="1584"/>
      <c r="AD88" s="1584"/>
      <c r="AE88" s="1584"/>
      <c r="AF88" s="1584"/>
      <c r="AG88" s="1585"/>
      <c r="AH88" s="1623"/>
      <c r="AI88" s="1584"/>
      <c r="AJ88" s="1584"/>
      <c r="AK88" s="1584"/>
      <c r="AL88" s="1584"/>
      <c r="AM88" s="1585"/>
    </row>
    <row r="89" spans="2:39" ht="15.65" customHeight="1" x14ac:dyDescent="0.25">
      <c r="B89" s="1105"/>
      <c r="C89" s="1106"/>
      <c r="D89" s="1106"/>
      <c r="E89" s="1106"/>
      <c r="F89" s="1106"/>
      <c r="G89" s="1106"/>
      <c r="H89" s="1161"/>
      <c r="I89" s="1115"/>
      <c r="J89" s="1106"/>
      <c r="K89" s="1106"/>
      <c r="L89" s="1106"/>
      <c r="M89" s="1106"/>
      <c r="N89" s="1144" t="s">
        <v>120</v>
      </c>
      <c r="O89" s="1145">
        <f>SUM(O88:O88)</f>
        <v>0</v>
      </c>
      <c r="P89" s="1146" t="s">
        <v>90</v>
      </c>
      <c r="Q89" s="1107"/>
      <c r="Y89" s="1623"/>
      <c r="Z89" s="1584"/>
      <c r="AA89" s="1584"/>
      <c r="AB89" s="1584"/>
      <c r="AC89" s="1584"/>
      <c r="AD89" s="1584"/>
      <c r="AE89" s="1584"/>
      <c r="AF89" s="1584"/>
      <c r="AG89" s="1585"/>
      <c r="AH89" s="1623"/>
      <c r="AI89" s="1584">
        <f>O89</f>
        <v>0</v>
      </c>
      <c r="AJ89" s="1584"/>
      <c r="AK89" s="1583" t="str">
        <f>'Hidden Lists and Summaries'!$B$5</f>
        <v>Embodied (Upstream)</v>
      </c>
      <c r="AL89" s="1584"/>
      <c r="AM89" s="1585" t="s">
        <v>584</v>
      </c>
    </row>
    <row r="90" spans="2:39" s="1164" customFormat="1" ht="15.65" customHeight="1" x14ac:dyDescent="0.25">
      <c r="B90" s="1162"/>
      <c r="C90" s="1108"/>
      <c r="D90" s="1108"/>
      <c r="E90" s="1108"/>
      <c r="F90" s="1108"/>
      <c r="G90" s="1108"/>
      <c r="H90" s="1108"/>
      <c r="I90" s="1102"/>
      <c r="J90" s="1108"/>
      <c r="K90" s="1108"/>
      <c r="L90" s="1108"/>
      <c r="M90" s="1108"/>
      <c r="N90" s="1163"/>
      <c r="O90" s="1108"/>
      <c r="P90" s="1108"/>
      <c r="Q90" s="1108"/>
      <c r="R90" s="1102"/>
      <c r="Y90" s="1743"/>
      <c r="Z90" s="1583"/>
      <c r="AA90" s="1583"/>
      <c r="AB90" s="1583"/>
      <c r="AC90" s="1583"/>
      <c r="AD90" s="1583"/>
      <c r="AE90" s="1583"/>
      <c r="AF90" s="1583"/>
      <c r="AG90" s="1744"/>
      <c r="AH90" s="1743"/>
      <c r="AI90" s="1583"/>
      <c r="AJ90" s="1583"/>
      <c r="AK90" s="1583"/>
      <c r="AL90" s="1583"/>
      <c r="AM90" s="1744"/>
    </row>
    <row r="91" spans="2:39" ht="15.65" customHeight="1" x14ac:dyDescent="0.25">
      <c r="B91" s="1081"/>
      <c r="C91" s="1082"/>
      <c r="D91" s="1082"/>
      <c r="E91" s="1082"/>
      <c r="F91" s="1082"/>
      <c r="G91" s="1082"/>
      <c r="H91" s="1890" t="s">
        <v>1336</v>
      </c>
      <c r="I91" s="1890"/>
      <c r="J91" s="1890"/>
      <c r="K91" s="1890"/>
      <c r="L91" s="1082"/>
      <c r="M91" s="1082"/>
      <c r="N91" s="1082"/>
      <c r="O91" s="1082"/>
      <c r="P91" s="1082"/>
      <c r="Q91" s="1083"/>
      <c r="Y91" s="1623"/>
      <c r="Z91" s="1584"/>
      <c r="AA91" s="1584"/>
      <c r="AB91" s="1584"/>
      <c r="AC91" s="1583"/>
      <c r="AD91" s="1584"/>
      <c r="AE91" s="1584"/>
      <c r="AF91" s="1584"/>
      <c r="AG91" s="1585"/>
      <c r="AH91" s="1623"/>
      <c r="AI91" s="1584"/>
      <c r="AJ91" s="1584"/>
      <c r="AK91" s="1584"/>
      <c r="AL91" s="1584"/>
      <c r="AM91" s="1585"/>
    </row>
    <row r="92" spans="2:39" ht="15.65" customHeight="1" x14ac:dyDescent="0.25">
      <c r="B92" s="1084"/>
      <c r="C92" s="145" t="s">
        <v>1343</v>
      </c>
      <c r="D92" s="144"/>
      <c r="E92" s="344" t="s">
        <v>1344</v>
      </c>
      <c r="F92" s="1151"/>
      <c r="G92" s="1151"/>
      <c r="H92" s="1151"/>
      <c r="I92" s="1879" t="s">
        <v>1308</v>
      </c>
      <c r="J92" s="1881" t="s">
        <v>1328</v>
      </c>
      <c r="K92" s="1881" t="s">
        <v>1309</v>
      </c>
      <c r="L92" s="1151"/>
      <c r="M92" s="1151"/>
      <c r="N92" s="1151"/>
      <c r="O92" s="1151"/>
      <c r="P92" s="1151"/>
      <c r="Q92" s="1087"/>
      <c r="Y92" s="1623"/>
      <c r="Z92" s="1584"/>
      <c r="AA92" s="1584"/>
      <c r="AB92" s="1584"/>
      <c r="AC92" s="1583"/>
      <c r="AD92" s="1584"/>
      <c r="AE92" s="1584"/>
      <c r="AF92" s="1584"/>
      <c r="AG92" s="1585"/>
      <c r="AH92" s="1623"/>
      <c r="AI92" s="1584"/>
      <c r="AJ92" s="1584"/>
      <c r="AK92" s="1584"/>
      <c r="AL92" s="1584"/>
      <c r="AM92" s="1585"/>
    </row>
    <row r="93" spans="2:39" ht="15.65" customHeight="1" x14ac:dyDescent="0.25">
      <c r="B93" s="1089"/>
      <c r="C93" s="1090"/>
      <c r="D93" s="1090"/>
      <c r="E93" s="1091" t="s">
        <v>112</v>
      </c>
      <c r="F93" s="1091" t="s">
        <v>117</v>
      </c>
      <c r="G93" s="1091" t="s">
        <v>119</v>
      </c>
      <c r="H93" s="1111" t="s">
        <v>184</v>
      </c>
      <c r="I93" s="1880"/>
      <c r="J93" s="1882"/>
      <c r="K93" s="1882"/>
      <c r="L93" s="1093"/>
      <c r="M93" s="1093"/>
      <c r="N93" s="1093"/>
      <c r="O93" s="1091" t="s">
        <v>82</v>
      </c>
      <c r="P93" s="1093"/>
      <c r="Q93" s="1112"/>
      <c r="Y93" s="1804" t="s">
        <v>106</v>
      </c>
      <c r="Z93" s="1752" t="s">
        <v>107</v>
      </c>
      <c r="AA93" s="1753" t="s">
        <v>107</v>
      </c>
      <c r="AB93" s="1581" t="s">
        <v>108</v>
      </c>
      <c r="AC93" s="1582" t="s">
        <v>109</v>
      </c>
      <c r="AD93" s="1584"/>
      <c r="AE93" s="1584"/>
      <c r="AF93" s="1584"/>
      <c r="AG93" s="1585"/>
      <c r="AH93" s="1623"/>
      <c r="AI93" s="1584"/>
      <c r="AJ93" s="1584"/>
      <c r="AK93" s="1584"/>
      <c r="AL93" s="1584"/>
      <c r="AM93" s="1585"/>
    </row>
    <row r="94" spans="2:39" ht="15.65" customHeight="1" x14ac:dyDescent="0.25">
      <c r="B94" s="1170"/>
      <c r="C94" s="1326"/>
      <c r="D94" s="1326"/>
      <c r="E94" s="1327"/>
      <c r="F94" s="1327"/>
      <c r="G94" s="1327"/>
      <c r="H94" s="1328"/>
      <c r="I94" s="1329"/>
      <c r="J94" s="1330"/>
      <c r="K94" s="1330"/>
      <c r="L94" s="1331"/>
      <c r="M94" s="1125"/>
      <c r="N94" s="1126" t="s">
        <v>209</v>
      </c>
      <c r="O94" s="1126" t="s">
        <v>258</v>
      </c>
      <c r="P94" s="1155"/>
      <c r="Q94" s="1332"/>
      <c r="Y94" s="1803" t="s">
        <v>1332</v>
      </c>
      <c r="Z94" s="1752" t="s">
        <v>585</v>
      </c>
      <c r="AA94" s="1754" t="s">
        <v>1329</v>
      </c>
      <c r="AB94" s="1803" t="s">
        <v>1332</v>
      </c>
      <c r="AC94" s="1629"/>
      <c r="AD94" s="1584"/>
      <c r="AE94" s="1584"/>
      <c r="AF94" s="1584"/>
      <c r="AG94" s="1585"/>
      <c r="AH94" s="1623"/>
      <c r="AI94" s="1584"/>
      <c r="AJ94" s="1584"/>
      <c r="AK94" s="1584"/>
      <c r="AL94" s="1584"/>
      <c r="AM94" s="1585"/>
    </row>
    <row r="95" spans="2:39" ht="15.65" customHeight="1" x14ac:dyDescent="0.25">
      <c r="B95" s="1095"/>
      <c r="C95" s="1113" t="s">
        <v>291</v>
      </c>
      <c r="D95" s="1096"/>
      <c r="E95" s="1510"/>
      <c r="F95" s="1511"/>
      <c r="G95" s="441"/>
      <c r="H95" s="427"/>
      <c r="I95" s="975"/>
      <c r="J95" s="1010"/>
      <c r="K95" s="977"/>
      <c r="L95" s="1096"/>
      <c r="M95" s="1130"/>
      <c r="N95" s="1131">
        <f>IF(E95="",0,IFERROR(AA95*AB95*AC95,'Hidden Lists and Summaries'!$C$158))</f>
        <v>0</v>
      </c>
      <c r="O95" s="1131">
        <f>IF(E95="",0,IFERROR(Y95*AA95*AC95,'Hidden Lists and Summaries'!$C$158))</f>
        <v>0</v>
      </c>
      <c r="P95" s="1132" t="s">
        <v>90</v>
      </c>
      <c r="Q95" s="1099"/>
      <c r="Y95" s="1756" t="str">
        <f>IF(I95&lt;&gt;"",I95,
IF(E95="Solid Fuel",VLOOKUP(F95,'Key Values'!$B$40:$G$58,6,FALSE),
IF(E95="Gaseous Fuel", VLOOKUP(F95,'Key Values'!$B$71:$G$88,6,FALSE),
IF(E95="Liquid Fuel", VLOOKUP(F95,'Key Values'!$B$100:$H$120,7,FALSE),
'Hidden Lists and Summaries'!$C$157))))</f>
        <v>No default, please enter a bespoke value</v>
      </c>
      <c r="Z95" s="1583" t="e">
        <f>IF(J95&lt;&gt;"",J95,IF(E95="Solid Fuel",VLOOKUP(F95,'Key Values'!$B$40:$G$58,2,FALSE),
IF(E95="Gaseous Fuel",VLOOKUP(F95,'Key Values'!$B$71:$G$88,2,FALSE),
VLOOKUP(F95,'Key Values'!$B$100:$H$120,2,FALSE))))</f>
        <v>#N/A</v>
      </c>
      <c r="AA95" s="1720" t="e" cm="1">
        <f t="array" ref="AA95">IF(J95&lt;&gt;"",J95/_xlfn.IFS('Key Values'!$B$35=E95, VLOOKUP(H95,massConv[#All], 2, FALSE),
'Key Values'!$B$36=E95, IF(VLOOKUP(F95,'Key Values'!$B$101:$H$121,3,FALSE)="GJ/t", VLOOKUP(H95,massConv[#All], 2, FALSE), VLOOKUP(H95,volConv[#All], 2, FALSE)),
'Key Values'!$B$37=E95, VLOOKUP(H95,volConv[#All], 2, FALSE)),Z95)</f>
        <v>#N/A</v>
      </c>
      <c r="AB95" s="1601" t="e" cm="1">
        <f t="array" ref="AB95">_xlfn.IFS(K95&lt;&gt;"",K95,E95="Solid Fuel", VLOOKUP(F95,'Key Values'!$B$61:$C$68,2,FALSE),
E95="Liquid fuel",VLOOKUP(F95,'Key Values'!$B$123:$C$143,2,FALSE),
E95="Gaseous Fuel", IF(VLOOKUP(F95,GasFuel[#All],7,FALSE)=TRUE,IF(F95='Key Values'!$B$77,'Hidden Lists and Summaries'!$C$157,VLOOKUP(iq_location,GaseousFuelEmbodiedEmissions[#All],IF(iq_metro="Yes",2,3),FALSE)),'Hidden Lists and Summaries'!$C$157))</f>
        <v>#N/A</v>
      </c>
      <c r="AC95" s="1602" t="e" cm="1">
        <f t="array" ref="AC95">_xlfn.IFS('Key Values'!$B$35=E95, VLOOKUP(H95,massConv[#All], 2, FALSE),
'Key Values'!$B$36=E95, IF(VLOOKUP(F95,'Key Values'!$B$101:$H$121,3,FALSE)="GJ/t", VLOOKUP(H95,massConv[#All], 2, FALSE), VLOOKUP(H95,volConv[#All], 2, FALSE)),
'Key Values'!$B$37=E95, VLOOKUP(H95,volConv[#All], 2, FALSE)) * G95</f>
        <v>#N/A</v>
      </c>
      <c r="AD95" s="1584"/>
      <c r="AE95" s="1584"/>
      <c r="AF95" s="1584"/>
      <c r="AG95" s="1585"/>
      <c r="AH95" s="1623"/>
      <c r="AI95" s="1584"/>
      <c r="AJ95" s="1584"/>
      <c r="AK95" s="1584"/>
      <c r="AL95" s="1584"/>
      <c r="AM95" s="1585"/>
    </row>
    <row r="96" spans="2:39" ht="15.65" customHeight="1" x14ac:dyDescent="0.25">
      <c r="B96" s="1095"/>
      <c r="C96" s="1113" t="s">
        <v>292</v>
      </c>
      <c r="D96" s="1096"/>
      <c r="E96" s="1512"/>
      <c r="F96" s="1513"/>
      <c r="G96" s="426"/>
      <c r="H96" s="380"/>
      <c r="I96" s="1011"/>
      <c r="J96" s="1012"/>
      <c r="K96" s="980"/>
      <c r="L96" s="1096"/>
      <c r="M96" s="1130"/>
      <c r="N96" s="1131">
        <f>IF(E96="",0,IFERROR(AA96*AB96*AC96,'Hidden Lists and Summaries'!$C$158))</f>
        <v>0</v>
      </c>
      <c r="O96" s="1131">
        <f>IF(E96="",0,IFERROR(Y96*AA96*AC96,'Hidden Lists and Summaries'!$C$158))</f>
        <v>0</v>
      </c>
      <c r="P96" s="1132" t="s">
        <v>90</v>
      </c>
      <c r="Q96" s="1099"/>
      <c r="Y96" s="1756" t="str">
        <f>IF(I96&lt;&gt;"",I96,
IF(E96="Solid Fuel",VLOOKUP(F96,'Key Values'!$B$40:$G$58,6,FALSE),
IF(E96="Gaseous Fuel", VLOOKUP(F96,'Key Values'!$B$71:$G$88,6,FALSE),
IF(E96="Liquid Fuel", VLOOKUP(F96,'Key Values'!$B$100:$H$120,7,FALSE),
'Hidden Lists and Summaries'!$C$157))))</f>
        <v>No default, please enter a bespoke value</v>
      </c>
      <c r="Z96" s="1583" t="e">
        <f>IF(J96&lt;&gt;"",J96,IF(E96="Solid Fuel",VLOOKUP(F96,'Key Values'!$B$40:$G$58,2,FALSE),
IF(E96="Gaseous Fuel",VLOOKUP(F96,'Key Values'!$B$71:$G$88,2,FALSE),
VLOOKUP(F96,'Key Values'!$B$100:$H$120,2,FALSE))))</f>
        <v>#N/A</v>
      </c>
      <c r="AA96" s="1720" t="e" cm="1">
        <f t="array" ref="AA96">IF(J96&lt;&gt;"",J96/_xlfn.IFS('Key Values'!$B$35=E96, VLOOKUP(H96,massConv[#All], 2, FALSE),
'Key Values'!$B$36=E96, IF(VLOOKUP(F96,'Key Values'!$B$101:$H$121,3,FALSE)="GJ/t", VLOOKUP(H96,massConv[#All], 2, FALSE), VLOOKUP(H96,volConv[#All], 2, FALSE)),
'Key Values'!$B$37=E96, VLOOKUP(H96,volConv[#All], 2, FALSE)),Z96)</f>
        <v>#N/A</v>
      </c>
      <c r="AB96" s="1601" t="e" cm="1">
        <f t="array" ref="AB96">_xlfn.IFS(K96&lt;&gt;"",K96,E96="Solid Fuel", VLOOKUP(F96,'Key Values'!$B$61:$C$68,2,FALSE),
E96="Liquid fuel",VLOOKUP(F96,'Key Values'!$B$123:$C$143,2,FALSE),
E96="Gaseous Fuel", IF(VLOOKUP(F96,GasFuel[#All],7,FALSE)=TRUE,IF(F96='Key Values'!$B$77,'Hidden Lists and Summaries'!$C$157,VLOOKUP(iq_location,GaseousFuelEmbodiedEmissions[#All],IF(iq_metro="Yes",2,3),FALSE)),'Hidden Lists and Summaries'!$C$157))</f>
        <v>#N/A</v>
      </c>
      <c r="AC96" s="1602" t="e" cm="1">
        <f t="array" ref="AC96">_xlfn.IFS('Key Values'!$B$35=E96, VLOOKUP(H96,massConv[#All], 2, FALSE),
'Key Values'!$B$36=E96, IF(VLOOKUP(F96,'Key Values'!$B$101:$H$121,3,FALSE)="GJ/t", VLOOKUP(H96,massConv[#All], 2, FALSE), VLOOKUP(H96,volConv[#All], 2, FALSE)),
'Key Values'!$B$37=E96, VLOOKUP(H96,volConv[#All], 2, FALSE)) * G96</f>
        <v>#N/A</v>
      </c>
      <c r="AD96" s="1584"/>
      <c r="AE96" s="1584"/>
      <c r="AF96" s="1584"/>
      <c r="AG96" s="1585"/>
      <c r="AH96" s="1623"/>
      <c r="AI96" s="1584"/>
      <c r="AJ96" s="1584"/>
      <c r="AK96" s="1584"/>
      <c r="AL96" s="1584"/>
      <c r="AM96" s="1585"/>
    </row>
    <row r="97" spans="2:39" ht="15.65" customHeight="1" x14ac:dyDescent="0.25">
      <c r="B97" s="1095"/>
      <c r="C97" s="1113" t="s">
        <v>293</v>
      </c>
      <c r="D97" s="1096"/>
      <c r="E97" s="1514"/>
      <c r="F97" s="1515"/>
      <c r="G97" s="379"/>
      <c r="H97" s="380"/>
      <c r="I97" s="978"/>
      <c r="J97" s="1013"/>
      <c r="K97" s="981"/>
      <c r="L97" s="1096"/>
      <c r="M97" s="1130"/>
      <c r="N97" s="1131">
        <f>IF(E97="",0,IFERROR(AA97*AB97*AC97,'Hidden Lists and Summaries'!$C$158))</f>
        <v>0</v>
      </c>
      <c r="O97" s="1131">
        <f>IF(E97="",0,IFERROR(Y97*AA97*AC97,'Hidden Lists and Summaries'!$C$158))</f>
        <v>0</v>
      </c>
      <c r="P97" s="1132" t="s">
        <v>90</v>
      </c>
      <c r="Q97" s="1099"/>
      <c r="Y97" s="1756" t="str">
        <f>IF(I97&lt;&gt;"",I97,
IF(E97="Solid Fuel",VLOOKUP(F97,'Key Values'!$B$40:$G$58,6,FALSE),
IF(E97="Gaseous Fuel", VLOOKUP(F97,'Key Values'!$B$71:$G$88,6,FALSE),
IF(E97="Liquid Fuel", VLOOKUP(F97,'Key Values'!$B$100:$H$120,7,FALSE),
'Hidden Lists and Summaries'!$C$157))))</f>
        <v>No default, please enter a bespoke value</v>
      </c>
      <c r="Z97" s="1583" t="e">
        <f>IF(J97&lt;&gt;"",J97,IF(E97="Solid Fuel",VLOOKUP(F97,'Key Values'!$B$40:$G$58,2,FALSE),
IF(E97="Gaseous Fuel",VLOOKUP(F97,'Key Values'!$B$71:$G$88,2,FALSE),
VLOOKUP(F97,'Key Values'!$B$100:$H$120,2,FALSE))))</f>
        <v>#N/A</v>
      </c>
      <c r="AA97" s="1720" t="e" cm="1">
        <f t="array" ref="AA97">IF(J97&lt;&gt;"",J97/_xlfn.IFS('Key Values'!$B$35=E97, VLOOKUP(H97,massConv[#All], 2, FALSE),
'Key Values'!$B$36=E97, IF(VLOOKUP(F97,'Key Values'!$B$101:$H$121,3,FALSE)="GJ/t", VLOOKUP(H97,massConv[#All], 2, FALSE), VLOOKUP(H97,volConv[#All], 2, FALSE)),
'Key Values'!$B$37=E97, VLOOKUP(H97,volConv[#All], 2, FALSE)),Z97)</f>
        <v>#N/A</v>
      </c>
      <c r="AB97" s="1601" t="e" cm="1">
        <f t="array" ref="AB97">_xlfn.IFS(K97&lt;&gt;"",K97,E97="Solid Fuel", VLOOKUP(F97,'Key Values'!$B$61:$C$68,2,FALSE),
E97="Liquid fuel",VLOOKUP(F97,'Key Values'!$B$123:$C$143,2,FALSE),
E97="Gaseous Fuel", IF(VLOOKUP(F97,GasFuel[#All],7,FALSE)=TRUE,IF(F97='Key Values'!$B$77,'Hidden Lists and Summaries'!$C$157,VLOOKUP(iq_location,GaseousFuelEmbodiedEmissions[#All],IF(iq_metro="Yes",2,3),FALSE)),'Hidden Lists and Summaries'!$C$157))</f>
        <v>#N/A</v>
      </c>
      <c r="AC97" s="1602" t="e" cm="1">
        <f t="array" ref="AC97">_xlfn.IFS('Key Values'!$B$35=E97, VLOOKUP(H97,massConv[#All], 2, FALSE),
'Key Values'!$B$36=E97, IF(VLOOKUP(F97,'Key Values'!$B$101:$H$121,3,FALSE)="GJ/t", VLOOKUP(H97,massConv[#All], 2, FALSE), VLOOKUP(H97,volConv[#All], 2, FALSE)),
'Key Values'!$B$37=E97, VLOOKUP(H97,volConv[#All], 2, FALSE)) * G97</f>
        <v>#N/A</v>
      </c>
      <c r="AD97" s="1584"/>
      <c r="AE97" s="1584"/>
      <c r="AF97" s="1584"/>
      <c r="AG97" s="1585"/>
      <c r="AH97" s="1623"/>
      <c r="AI97" s="1584"/>
      <c r="AJ97" s="1584"/>
      <c r="AK97" s="1584"/>
      <c r="AL97" s="1584"/>
      <c r="AM97" s="1585"/>
    </row>
    <row r="98" spans="2:39" ht="15.65" customHeight="1" x14ac:dyDescent="0.25">
      <c r="B98" s="1095"/>
      <c r="C98" s="1113" t="s">
        <v>294</v>
      </c>
      <c r="D98" s="1096"/>
      <c r="E98" s="1516"/>
      <c r="F98" s="1517"/>
      <c r="G98" s="386"/>
      <c r="H98" s="380"/>
      <c r="I98" s="978"/>
      <c r="J98" s="1013"/>
      <c r="K98" s="981"/>
      <c r="L98" s="1096"/>
      <c r="M98" s="1130"/>
      <c r="N98" s="1131">
        <f>IF(E98="",0,IFERROR(AA98*AB98*AC98,'Hidden Lists and Summaries'!$C$158))</f>
        <v>0</v>
      </c>
      <c r="O98" s="1131">
        <f>IF(E98="",0,IFERROR(Y98*AA98*AC98,'Hidden Lists and Summaries'!$C$158))</f>
        <v>0</v>
      </c>
      <c r="P98" s="1132" t="s">
        <v>90</v>
      </c>
      <c r="Q98" s="1099"/>
      <c r="Y98" s="1756" t="str">
        <f>IF(I98&lt;&gt;"",I98,
IF(E98="Solid Fuel",VLOOKUP(F98,'Key Values'!$B$40:$G$58,6,FALSE),
IF(E98="Gaseous Fuel", VLOOKUP(F98,'Key Values'!$B$71:$G$88,6,FALSE),
IF(E98="Liquid Fuel", VLOOKUP(F98,'Key Values'!$B$100:$H$120,7,FALSE),
'Hidden Lists and Summaries'!$C$157))))</f>
        <v>No default, please enter a bespoke value</v>
      </c>
      <c r="Z98" s="1583" t="e">
        <f>IF(J98&lt;&gt;"",J98,IF(E98="Solid Fuel",VLOOKUP(F98,'Key Values'!$B$40:$G$58,2,FALSE),
IF(E98="Gaseous Fuel",VLOOKUP(F98,'Key Values'!$B$71:$G$88,2,FALSE),
VLOOKUP(F98,'Key Values'!$B$100:$H$120,2,FALSE))))</f>
        <v>#N/A</v>
      </c>
      <c r="AA98" s="1720" t="e" cm="1">
        <f t="array" ref="AA98">IF(J98&lt;&gt;"",J98/_xlfn.IFS('Key Values'!$B$35=E98, VLOOKUP(H98,massConv[#All], 2, FALSE),
'Key Values'!$B$36=E98, IF(VLOOKUP(F98,'Key Values'!$B$101:$H$121,3,FALSE)="GJ/t", VLOOKUP(H98,massConv[#All], 2, FALSE), VLOOKUP(H98,volConv[#All], 2, FALSE)),
'Key Values'!$B$37=E98, VLOOKUP(H98,volConv[#All], 2, FALSE)),Z98)</f>
        <v>#N/A</v>
      </c>
      <c r="AB98" s="1601" t="e" cm="1">
        <f t="array" ref="AB98">_xlfn.IFS(K98&lt;&gt;"",K98,E98="Solid Fuel", VLOOKUP(F98,'Key Values'!$B$61:$C$68,2,FALSE),
E98="Liquid fuel",VLOOKUP(F98,'Key Values'!$B$123:$C$143,2,FALSE),
E98="Gaseous Fuel", IF(VLOOKUP(F98,GasFuel[#All],7,FALSE)=TRUE,IF(F98='Key Values'!$B$77,'Hidden Lists and Summaries'!$C$157,VLOOKUP(iq_location,GaseousFuelEmbodiedEmissions[#All],IF(iq_metro="Yes",2,3),FALSE)),'Hidden Lists and Summaries'!$C$157))</f>
        <v>#N/A</v>
      </c>
      <c r="AC98" s="1602" t="e" cm="1">
        <f t="array" ref="AC98">_xlfn.IFS('Key Values'!$B$35=E98, VLOOKUP(H98,massConv[#All], 2, FALSE),
'Key Values'!$B$36=E98, IF(VLOOKUP(F98,'Key Values'!$B$101:$H$121,3,FALSE)="GJ/t", VLOOKUP(H98,massConv[#All], 2, FALSE), VLOOKUP(H98,volConv[#All], 2, FALSE)),
'Key Values'!$B$37=E98, VLOOKUP(H98,volConv[#All], 2, FALSE)) * G98</f>
        <v>#N/A</v>
      </c>
      <c r="AD98" s="1584"/>
      <c r="AE98" s="1584"/>
      <c r="AF98" s="1584"/>
      <c r="AG98" s="1585"/>
      <c r="AH98" s="1623"/>
      <c r="AI98" s="1584"/>
      <c r="AJ98" s="1584"/>
      <c r="AK98" s="1584"/>
      <c r="AL98" s="1584"/>
      <c r="AM98" s="1585"/>
    </row>
    <row r="99" spans="2:39" ht="15.65" customHeight="1" x14ac:dyDescent="0.25">
      <c r="B99" s="1095"/>
      <c r="C99" s="1113" t="s">
        <v>295</v>
      </c>
      <c r="D99" s="1096"/>
      <c r="E99" s="1518"/>
      <c r="F99" s="1519"/>
      <c r="G99" s="430"/>
      <c r="H99" s="396"/>
      <c r="I99" s="1004"/>
      <c r="J99" s="979"/>
      <c r="K99" s="986"/>
      <c r="L99" s="1101"/>
      <c r="M99" s="1130"/>
      <c r="N99" s="1131">
        <f>IF(E99="",0,IFERROR(AA99*AB99*AC99,'Hidden Lists and Summaries'!$C$158))</f>
        <v>0</v>
      </c>
      <c r="O99" s="1131">
        <f>IF(E99="",0,IFERROR(Y99*AA99*AC99,'Hidden Lists and Summaries'!$C$158))</f>
        <v>0</v>
      </c>
      <c r="P99" s="1132" t="s">
        <v>90</v>
      </c>
      <c r="Q99" s="1099"/>
      <c r="Y99" s="1757" t="str">
        <f>IF(I99&lt;&gt;"",I99,
IF(E99="Solid Fuel",VLOOKUP(F99,'Key Values'!$B$40:$G$58,6,FALSE),
IF(E99="Gaseous Fuel", VLOOKUP(F99,'Key Values'!$B$71:$G$88,6,FALSE),
IF(E99="Liquid Fuel", VLOOKUP(F99,'Key Values'!$B$100:$H$120,7,FALSE),
'Hidden Lists and Summaries'!$C$157))))</f>
        <v>No default, please enter a bespoke value</v>
      </c>
      <c r="Z99" s="1758" t="e">
        <f>IF(J99&lt;&gt;"",J99,IF(E99="Solid Fuel",VLOOKUP(F99,'Key Values'!$B$40:$G$58,2,FALSE),
IF(E99="Gaseous Fuel",VLOOKUP(F99,'Key Values'!$B$71:$G$88,2,FALSE),
VLOOKUP(F99,'Key Values'!$B$100:$H$120,2,FALSE))))</f>
        <v>#N/A</v>
      </c>
      <c r="AA99" s="1719" t="e" cm="1">
        <f t="array" ref="AA99">IF(J99&lt;&gt;"",J99/_xlfn.IFS('Key Values'!$B$35=E99, VLOOKUP(H99,massConv[#All], 2, FALSE),
'Key Values'!$B$36=E99, IF(VLOOKUP(F99,'Key Values'!$B$101:$H$121,3,FALSE)="GJ/t", VLOOKUP(H99,massConv[#All], 2, FALSE), VLOOKUP(H99,volConv[#All], 2, FALSE)),
'Key Values'!$B$37=E99, VLOOKUP(H99,volConv[#All], 2, FALSE)),Z99)</f>
        <v>#N/A</v>
      </c>
      <c r="AB99" s="1611" t="e" cm="1">
        <f t="array" ref="AB99">_xlfn.IFS(K99&lt;&gt;"",K99,E99="Solid Fuel", VLOOKUP(F99,'Key Values'!$B$61:$C$68,2,FALSE),
E99="Liquid fuel",VLOOKUP(F99,'Key Values'!$B$123:$C$143,2,FALSE),
E99="Gaseous Fuel", IF(VLOOKUP(F99,GasFuel[#All],7,FALSE)=TRUE,IF(F99='Key Values'!$B$77,'Hidden Lists and Summaries'!$C$157,VLOOKUP(iq_location,GaseousFuelEmbodiedEmissions[#All],IF(iq_metro="Yes",2,3),FALSE)),'Hidden Lists and Summaries'!$C$157))</f>
        <v>#N/A</v>
      </c>
      <c r="AC99" s="1612" t="e" cm="1">
        <f t="array" ref="AC99">_xlfn.IFS('Key Values'!$B$35=E99, VLOOKUP(H99,massConv[#All], 2, FALSE),
'Key Values'!$B$36=E99, IF(VLOOKUP(F99,'Key Values'!$B$101:$H$121,3,FALSE)="GJ/t", VLOOKUP(H99,massConv[#All], 2, FALSE), VLOOKUP(H99,volConv[#All], 2, FALSE)),
'Key Values'!$B$37=E99, VLOOKUP(H99,volConv[#All], 2, FALSE)) * G99</f>
        <v>#N/A</v>
      </c>
      <c r="AD99" s="1584"/>
      <c r="AE99" s="1584"/>
      <c r="AF99" s="1584"/>
      <c r="AG99" s="1585"/>
      <c r="AH99" s="1623"/>
      <c r="AI99" s="1584"/>
      <c r="AJ99" s="1584"/>
      <c r="AK99" s="1584"/>
      <c r="AL99" s="1584"/>
      <c r="AM99" s="1585"/>
    </row>
    <row r="100" spans="2:39" ht="15.65" customHeight="1" x14ac:dyDescent="0.25">
      <c r="B100" s="1105"/>
      <c r="C100" s="1106"/>
      <c r="D100" s="1106"/>
      <c r="E100" s="1106"/>
      <c r="F100" s="1335"/>
      <c r="G100" s="1239"/>
      <c r="H100" s="1115"/>
      <c r="I100" s="1115"/>
      <c r="J100" s="1097"/>
      <c r="K100" s="1106"/>
      <c r="L100" s="1106"/>
      <c r="M100" s="1144" t="s">
        <v>120</v>
      </c>
      <c r="N100" s="1142">
        <f>SUM(N95:N99)</f>
        <v>0</v>
      </c>
      <c r="O100" s="1145">
        <f>SUM(O95:O99)</f>
        <v>0</v>
      </c>
      <c r="P100" s="1146" t="s">
        <v>90</v>
      </c>
      <c r="Q100" s="1107"/>
      <c r="Y100" s="1623"/>
      <c r="Z100" s="1584"/>
      <c r="AA100" s="1584"/>
      <c r="AB100" s="1624"/>
      <c r="AC100" s="1583"/>
      <c r="AD100" s="1584"/>
      <c r="AE100" s="1584"/>
      <c r="AF100" s="1584"/>
      <c r="AG100" s="1585"/>
      <c r="AH100" s="1623">
        <f>N100</f>
        <v>0</v>
      </c>
      <c r="AI100" s="1584">
        <f>O100</f>
        <v>0</v>
      </c>
      <c r="AJ100" s="1584" t="str">
        <f>'Hidden Lists and Summaries'!B5</f>
        <v>Embodied (Upstream)</v>
      </c>
      <c r="AK100" s="1584" t="str">
        <f>'Hidden Lists and Summaries'!B8</f>
        <v>Fuel Combustion</v>
      </c>
      <c r="AL100" s="1584" t="s">
        <v>243</v>
      </c>
      <c r="AM100" s="1585"/>
    </row>
    <row r="101" spans="2:39" ht="15.65" customHeight="1" x14ac:dyDescent="0.25">
      <c r="B101" s="1162"/>
      <c r="C101" s="1336"/>
      <c r="D101" s="1336"/>
      <c r="E101" s="1108"/>
      <c r="F101" s="1337"/>
      <c r="G101" s="1108"/>
      <c r="H101" s="1338"/>
      <c r="I101" s="1339"/>
      <c r="J101" s="1164"/>
      <c r="K101"/>
      <c r="L101"/>
      <c r="M101" s="1131"/>
      <c r="N101" s="1131"/>
      <c r="O101" s="1131"/>
      <c r="P101" s="1131"/>
      <c r="Q101" s="1099"/>
      <c r="Y101" s="1600"/>
      <c r="Z101" s="1583"/>
      <c r="AA101" s="1601"/>
      <c r="AB101" s="1601"/>
      <c r="AC101" s="101"/>
      <c r="AD101" s="1584"/>
      <c r="AE101" s="1584"/>
      <c r="AF101" s="1584"/>
      <c r="AG101" s="1585"/>
      <c r="AH101" s="1623"/>
      <c r="AI101" s="1584"/>
      <c r="AJ101" s="1584"/>
      <c r="AK101" s="1584"/>
      <c r="AL101" s="1584"/>
      <c r="AM101" s="1585"/>
    </row>
    <row r="102" spans="2:39" ht="15.65" customHeight="1" x14ac:dyDescent="0.25">
      <c r="B102" s="1081"/>
      <c r="C102" s="1082"/>
      <c r="D102" s="1082"/>
      <c r="E102" s="1082"/>
      <c r="F102" s="1082"/>
      <c r="G102" s="1082"/>
      <c r="H102" s="1082"/>
      <c r="I102" s="1082"/>
      <c r="J102" s="1082"/>
      <c r="K102" s="1082"/>
      <c r="L102" s="1082"/>
      <c r="M102" s="1082"/>
      <c r="N102" s="1082"/>
      <c r="O102" s="1082"/>
      <c r="P102" s="1082"/>
      <c r="Q102" s="1083"/>
      <c r="Y102" s="1623"/>
      <c r="Z102" s="1584"/>
      <c r="AA102" s="1584"/>
      <c r="AB102" s="1584"/>
      <c r="AC102" s="1584"/>
      <c r="AD102" s="1584"/>
      <c r="AE102" s="1584"/>
      <c r="AF102" s="1584"/>
      <c r="AG102" s="1585"/>
      <c r="AH102" s="1623"/>
      <c r="AI102" s="1584"/>
      <c r="AJ102" s="1584"/>
      <c r="AK102" s="1584"/>
      <c r="AL102" s="1584"/>
      <c r="AM102" s="1585"/>
    </row>
    <row r="103" spans="2:39" ht="15.65" customHeight="1" x14ac:dyDescent="0.25">
      <c r="B103" s="1084"/>
      <c r="C103" s="1109" t="s">
        <v>1321</v>
      </c>
      <c r="D103" s="1086"/>
      <c r="E103" s="1086"/>
      <c r="F103" s="1086"/>
      <c r="G103" s="1086"/>
      <c r="H103" s="1086"/>
      <c r="I103" s="1086"/>
      <c r="J103" s="1086"/>
      <c r="K103" s="1086"/>
      <c r="L103" s="1086"/>
      <c r="M103" s="1086"/>
      <c r="N103" s="1086"/>
      <c r="O103" s="1086"/>
      <c r="P103" s="1086"/>
      <c r="Q103" s="1087"/>
      <c r="Y103" s="1623"/>
      <c r="Z103" s="1584"/>
      <c r="AA103" s="1584"/>
      <c r="AB103" s="1584"/>
      <c r="AC103" s="1584"/>
      <c r="AD103" s="1584"/>
      <c r="AE103" s="1584"/>
      <c r="AF103" s="1584"/>
      <c r="AG103" s="1585"/>
      <c r="AH103" s="1623"/>
      <c r="AI103" s="1584"/>
      <c r="AJ103" s="1584"/>
      <c r="AK103" s="1584"/>
      <c r="AL103" s="1584"/>
      <c r="AM103" s="1585"/>
    </row>
    <row r="104" spans="2:39" ht="15.65" customHeight="1" x14ac:dyDescent="0.25">
      <c r="B104" s="1089"/>
      <c r="C104" s="1090"/>
      <c r="D104" s="1090"/>
      <c r="E104" s="1091" t="s">
        <v>297</v>
      </c>
      <c r="F104" s="1091" t="s">
        <v>298</v>
      </c>
      <c r="G104" s="1111" t="s">
        <v>299</v>
      </c>
      <c r="H104" s="1111" t="s">
        <v>184</v>
      </c>
      <c r="I104" s="1111"/>
      <c r="J104" s="1093"/>
      <c r="K104" s="1093"/>
      <c r="L104" s="1093"/>
      <c r="M104" s="1093"/>
      <c r="N104" s="1093"/>
      <c r="O104" s="1091" t="s">
        <v>82</v>
      </c>
      <c r="P104" s="1093"/>
      <c r="Q104" s="1112"/>
      <c r="Y104" s="1738" t="s">
        <v>300</v>
      </c>
      <c r="Z104" s="1627" t="s">
        <v>301</v>
      </c>
      <c r="AA104" s="1627" t="s">
        <v>516</v>
      </c>
      <c r="AB104" s="1582" t="s">
        <v>94</v>
      </c>
      <c r="AC104" s="1582" t="s">
        <v>303</v>
      </c>
      <c r="AD104" s="1584"/>
      <c r="AE104" s="1584"/>
      <c r="AF104" s="1584"/>
      <c r="AG104" s="1585"/>
      <c r="AH104" s="1623"/>
      <c r="AI104" s="1584"/>
      <c r="AJ104" s="1584"/>
      <c r="AK104" s="1584"/>
      <c r="AL104" s="1584"/>
      <c r="AM104" s="1585"/>
    </row>
    <row r="105" spans="2:39" ht="15.65" customHeight="1" x14ac:dyDescent="0.25">
      <c r="B105" s="1095"/>
      <c r="C105" s="1096"/>
      <c r="D105" s="1096"/>
      <c r="E105" s="1096"/>
      <c r="F105" s="1096"/>
      <c r="G105" s="1096"/>
      <c r="H105" s="1098"/>
      <c r="I105" s="1098"/>
      <c r="J105" s="1096"/>
      <c r="K105" s="1096"/>
      <c r="L105" s="1096"/>
      <c r="M105" s="1096"/>
      <c r="N105" s="1125"/>
      <c r="O105" s="1322" t="s">
        <v>304</v>
      </c>
      <c r="P105" s="1155"/>
      <c r="Q105" s="1099"/>
      <c r="Y105" s="1759"/>
      <c r="Z105" s="1760" t="s">
        <v>128</v>
      </c>
      <c r="AA105" s="1760"/>
      <c r="AB105" s="1582" t="s">
        <v>128</v>
      </c>
      <c r="AC105" s="1582"/>
      <c r="AD105" s="1584"/>
      <c r="AE105" s="1584"/>
      <c r="AF105" s="1584"/>
      <c r="AG105" s="1585"/>
      <c r="AH105" s="1623"/>
      <c r="AI105" s="1584"/>
      <c r="AJ105" s="1584"/>
      <c r="AK105" s="1584"/>
      <c r="AL105" s="1584"/>
      <c r="AM105" s="1585"/>
    </row>
    <row r="106" spans="2:39" ht="15.65" customHeight="1" x14ac:dyDescent="0.25">
      <c r="B106" s="1095"/>
      <c r="C106" s="1113" t="s">
        <v>305</v>
      </c>
      <c r="D106" s="1096"/>
      <c r="E106" s="987"/>
      <c r="F106" s="988"/>
      <c r="G106" s="358"/>
      <c r="H106" s="397"/>
      <c r="I106" s="1098"/>
      <c r="J106" s="1096"/>
      <c r="K106" s="1096"/>
      <c r="L106" s="1096"/>
      <c r="M106" s="1096"/>
      <c r="N106" s="1130"/>
      <c r="O106" s="1131">
        <f>IF(E106="",0,IFERROR(Z106*AC106,'Hidden Lists and Summaries'!$C$158))</f>
        <v>0</v>
      </c>
      <c r="P106" s="1132" t="s">
        <v>90</v>
      </c>
      <c r="Q106" s="1099"/>
      <c r="Y106" s="1637" t="e">
        <f>VLOOKUP(F106,CO2Equivalence[],2,FALSE)</f>
        <v>#N/A</v>
      </c>
      <c r="Z106" s="1594" t="e">
        <f>AB106*Y106</f>
        <v>#N/A</v>
      </c>
      <c r="AA106" s="1761" t="e">
        <f>IF(F106='Key Values'!$B$221,VLOOKUP('Coal Gasification'!E106,IndustrialProcessEmissions[],3,FALSE),VLOOKUP('Coal Gasification'!E106,IndustrialProcessEmissions[],2,FALSE))</f>
        <v>#N/A</v>
      </c>
      <c r="AB106" s="1684" t="e">
        <f>VLOOKUP(H106,massConv[#All], 3, FALSE)*G106</f>
        <v>#N/A</v>
      </c>
      <c r="AC106" s="1762" t="e">
        <f t="shared" ref="AC106:AC112" si="1">AA106*iq_batchDurationYears</f>
        <v>#N/A</v>
      </c>
      <c r="AD106" s="1584"/>
      <c r="AE106" s="1584"/>
      <c r="AF106" s="1584"/>
      <c r="AG106" s="1585"/>
      <c r="AH106" s="1623"/>
      <c r="AI106" s="1584"/>
      <c r="AJ106" s="1584"/>
      <c r="AK106" s="1584"/>
      <c r="AL106" s="1584"/>
      <c r="AM106" s="1585"/>
    </row>
    <row r="107" spans="2:39" ht="15.65" customHeight="1" x14ac:dyDescent="0.25">
      <c r="B107" s="1095"/>
      <c r="C107" s="1113" t="s">
        <v>306</v>
      </c>
      <c r="D107" s="1096"/>
      <c r="E107" s="989"/>
      <c r="F107" s="990"/>
      <c r="G107" s="398"/>
      <c r="H107" s="399"/>
      <c r="I107" s="1098"/>
      <c r="J107" s="1096"/>
      <c r="K107" s="1096"/>
      <c r="L107" s="1096"/>
      <c r="M107" s="1096"/>
      <c r="N107" s="1130"/>
      <c r="O107" s="1131">
        <f>IF(E107="",0,IFERROR(Z107*AC107,'Hidden Lists and Summaries'!$C$158))</f>
        <v>0</v>
      </c>
      <c r="P107" s="1132" t="s">
        <v>90</v>
      </c>
      <c r="Q107" s="1099"/>
      <c r="Y107" s="1623" t="e">
        <f>VLOOKUP(F107,CO2Equivalence[],2,FALSE)</f>
        <v>#N/A</v>
      </c>
      <c r="Z107" s="1584" t="e">
        <f t="shared" ref="Z107:Z112" si="2">AB107*Y107</f>
        <v>#N/A</v>
      </c>
      <c r="AA107" s="1763" t="e">
        <f>IF(F107='Key Values'!$B$221,VLOOKUP('Coal Gasification'!E107,IndustrialProcessEmissions[],3,FALSE),VLOOKUP('Coal Gasification'!E107,IndustrialProcessEmissions[],2,FALSE))</f>
        <v>#N/A</v>
      </c>
      <c r="AB107" s="1624" t="e">
        <f>VLOOKUP(H107,massConv[#All], 3, FALSE)*G107</f>
        <v>#N/A</v>
      </c>
      <c r="AC107" s="1764" t="e">
        <f t="shared" si="1"/>
        <v>#N/A</v>
      </c>
      <c r="AD107" s="1584"/>
      <c r="AE107" s="1584"/>
      <c r="AF107" s="1584"/>
      <c r="AG107" s="1585"/>
      <c r="AH107" s="1623"/>
      <c r="AI107" s="1584"/>
      <c r="AJ107" s="1584"/>
      <c r="AK107" s="1584"/>
      <c r="AL107" s="1584"/>
      <c r="AM107" s="1585"/>
    </row>
    <row r="108" spans="2:39" ht="15.65" customHeight="1" x14ac:dyDescent="0.25">
      <c r="B108" s="1095"/>
      <c r="C108" s="1113" t="s">
        <v>307</v>
      </c>
      <c r="D108" s="1096"/>
      <c r="E108" s="989"/>
      <c r="F108" s="990"/>
      <c r="G108" s="398"/>
      <c r="H108" s="399"/>
      <c r="I108" s="1098"/>
      <c r="J108" s="1096"/>
      <c r="K108" s="1096"/>
      <c r="L108" s="1096"/>
      <c r="M108" s="1096"/>
      <c r="N108" s="1130"/>
      <c r="O108" s="1131">
        <f>IF(E108="",0,IFERROR(Z108*AC108,'Hidden Lists and Summaries'!$C$158))</f>
        <v>0</v>
      </c>
      <c r="P108" s="1132" t="s">
        <v>90</v>
      </c>
      <c r="Q108" s="1099"/>
      <c r="Y108" s="1623" t="e">
        <f>VLOOKUP(F108,CO2Equivalence[],2,FALSE)</f>
        <v>#N/A</v>
      </c>
      <c r="Z108" s="1584" t="e">
        <f t="shared" si="2"/>
        <v>#N/A</v>
      </c>
      <c r="AA108" s="1763" t="e">
        <f>IF(F108='Key Values'!$B$221,VLOOKUP('Coal Gasification'!E108,IndustrialProcessEmissions[],3,FALSE),VLOOKUP('Coal Gasification'!E108,IndustrialProcessEmissions[],2,FALSE))</f>
        <v>#N/A</v>
      </c>
      <c r="AB108" s="1624" t="e">
        <f>VLOOKUP(H108,massConv[#All], 3, FALSE)*G108</f>
        <v>#N/A</v>
      </c>
      <c r="AC108" s="1764" t="e">
        <f t="shared" si="1"/>
        <v>#N/A</v>
      </c>
      <c r="AD108" s="1584"/>
      <c r="AE108" s="1584"/>
      <c r="AF108" s="1584"/>
      <c r="AG108" s="1585"/>
      <c r="AH108" s="1623"/>
      <c r="AI108" s="1584"/>
      <c r="AJ108" s="1584"/>
      <c r="AK108" s="1584"/>
      <c r="AL108" s="1584"/>
      <c r="AM108" s="1585"/>
    </row>
    <row r="109" spans="2:39" x14ac:dyDescent="0.25">
      <c r="B109" s="1095"/>
      <c r="C109" s="1113" t="s">
        <v>308</v>
      </c>
      <c r="D109" s="1096"/>
      <c r="E109" s="991"/>
      <c r="F109" s="990"/>
      <c r="G109" s="398"/>
      <c r="H109" s="399"/>
      <c r="I109" s="1098"/>
      <c r="J109" s="1096"/>
      <c r="K109" s="1096"/>
      <c r="L109" s="1096"/>
      <c r="M109" s="1096"/>
      <c r="N109" s="1130"/>
      <c r="O109" s="1131">
        <f>IF(E109="",0,IFERROR(Z109*AC109,'Hidden Lists and Summaries'!$C$158))</f>
        <v>0</v>
      </c>
      <c r="P109" s="1132" t="s">
        <v>90</v>
      </c>
      <c r="Q109" s="1099"/>
      <c r="Y109" s="1623" t="e">
        <f>VLOOKUP(F109,CO2Equivalence[],2,FALSE)</f>
        <v>#N/A</v>
      </c>
      <c r="Z109" s="1584" t="e">
        <f t="shared" si="2"/>
        <v>#N/A</v>
      </c>
      <c r="AA109" s="1763" t="e">
        <f>IF(F109='Key Values'!$B$221,VLOOKUP('Coal Gasification'!E109,IndustrialProcessEmissions[],3,FALSE),VLOOKUP('Coal Gasification'!E109,IndustrialProcessEmissions[],2,FALSE))</f>
        <v>#N/A</v>
      </c>
      <c r="AB109" s="1624" t="e">
        <f>VLOOKUP(H109,massConv[#All], 3, FALSE)*G109</f>
        <v>#N/A</v>
      </c>
      <c r="AC109" s="1764" t="e">
        <f t="shared" si="1"/>
        <v>#N/A</v>
      </c>
      <c r="AD109" s="1584"/>
      <c r="AE109" s="1584"/>
      <c r="AF109" s="1584"/>
      <c r="AG109" s="1585"/>
      <c r="AH109" s="1623"/>
      <c r="AI109" s="1584"/>
      <c r="AJ109" s="1584"/>
      <c r="AK109" s="1584"/>
      <c r="AL109" s="1584"/>
      <c r="AM109" s="1585"/>
    </row>
    <row r="110" spans="2:39" ht="15.65" customHeight="1" x14ac:dyDescent="0.25">
      <c r="B110" s="1095"/>
      <c r="C110" s="1113" t="s">
        <v>309</v>
      </c>
      <c r="D110" s="1096"/>
      <c r="E110" s="989"/>
      <c r="F110" s="990"/>
      <c r="G110" s="398"/>
      <c r="H110" s="399"/>
      <c r="I110" s="1098"/>
      <c r="J110" s="1096"/>
      <c r="K110" s="1096"/>
      <c r="L110" s="1096"/>
      <c r="M110" s="1096"/>
      <c r="N110" s="1130"/>
      <c r="O110" s="1131">
        <f>IF(E110="",0,IFERROR(Z110*AC110,'Hidden Lists and Summaries'!$C$158))</f>
        <v>0</v>
      </c>
      <c r="P110" s="1132" t="s">
        <v>90</v>
      </c>
      <c r="Q110" s="1099"/>
      <c r="Y110" s="1623" t="e">
        <f>VLOOKUP(F110,CO2Equivalence[],2,FALSE)</f>
        <v>#N/A</v>
      </c>
      <c r="Z110" s="1584" t="e">
        <f t="shared" si="2"/>
        <v>#N/A</v>
      </c>
      <c r="AA110" s="1763" t="e">
        <f>IF(F110='Key Values'!$B$221,VLOOKUP('Coal Gasification'!E110,IndustrialProcessEmissions[],3,FALSE),VLOOKUP('Coal Gasification'!E110,IndustrialProcessEmissions[],2,FALSE))</f>
        <v>#N/A</v>
      </c>
      <c r="AB110" s="1624" t="e">
        <f>VLOOKUP(H110,massConv[#All], 3, FALSE)*G110</f>
        <v>#N/A</v>
      </c>
      <c r="AC110" s="1764" t="e">
        <f t="shared" si="1"/>
        <v>#N/A</v>
      </c>
      <c r="AD110" s="1584"/>
      <c r="AE110" s="1584"/>
      <c r="AF110" s="1584"/>
      <c r="AG110" s="1585"/>
      <c r="AH110" s="1623"/>
      <c r="AI110" s="1584"/>
      <c r="AJ110" s="1584"/>
      <c r="AK110" s="1584"/>
      <c r="AL110" s="1584"/>
      <c r="AM110" s="1585"/>
    </row>
    <row r="111" spans="2:39" ht="15.65" customHeight="1" x14ac:dyDescent="0.25">
      <c r="B111" s="1095"/>
      <c r="C111" s="1113" t="s">
        <v>310</v>
      </c>
      <c r="D111" s="1096"/>
      <c r="E111" s="989"/>
      <c r="F111" s="990"/>
      <c r="G111" s="398"/>
      <c r="H111" s="399"/>
      <c r="I111" s="1098"/>
      <c r="J111" s="1096"/>
      <c r="K111" s="1096"/>
      <c r="L111" s="1096"/>
      <c r="M111" s="1096"/>
      <c r="N111" s="1130"/>
      <c r="O111" s="1131">
        <f>IF(E111="",0,IFERROR(Z111*AC111,'Hidden Lists and Summaries'!$C$158))</f>
        <v>0</v>
      </c>
      <c r="P111" s="1132" t="s">
        <v>90</v>
      </c>
      <c r="Q111" s="1099"/>
      <c r="Y111" s="1623" t="e">
        <f>VLOOKUP(F111,CO2Equivalence[],2,FALSE)</f>
        <v>#N/A</v>
      </c>
      <c r="Z111" s="1584" t="e">
        <f t="shared" si="2"/>
        <v>#N/A</v>
      </c>
      <c r="AA111" s="1763" t="e">
        <f>IF(F111='Key Values'!$B$221,VLOOKUP('Coal Gasification'!E111,IndustrialProcessEmissions[],3,FALSE),VLOOKUP('Coal Gasification'!E111,IndustrialProcessEmissions[],2,FALSE))</f>
        <v>#N/A</v>
      </c>
      <c r="AB111" s="1624" t="e">
        <f>VLOOKUP(H111,massConv[#All], 3, FALSE)*G111</f>
        <v>#N/A</v>
      </c>
      <c r="AC111" s="1764" t="e">
        <f t="shared" si="1"/>
        <v>#N/A</v>
      </c>
      <c r="AD111" s="1584"/>
      <c r="AE111" s="1584"/>
      <c r="AF111" s="1584"/>
      <c r="AG111" s="1585"/>
      <c r="AH111" s="1623"/>
      <c r="AI111" s="1584"/>
      <c r="AJ111" s="1584"/>
      <c r="AK111" s="1584"/>
      <c r="AL111" s="1584"/>
      <c r="AM111" s="1585"/>
    </row>
    <row r="112" spans="2:39" ht="15.65" customHeight="1" x14ac:dyDescent="0.25">
      <c r="B112" s="1095"/>
      <c r="C112" s="1113" t="s">
        <v>311</v>
      </c>
      <c r="D112" s="1096"/>
      <c r="E112" s="992"/>
      <c r="F112" s="993"/>
      <c r="G112" s="359"/>
      <c r="H112" s="400"/>
      <c r="I112" s="1098"/>
      <c r="J112" s="1096"/>
      <c r="K112" s="1096"/>
      <c r="L112" s="1096"/>
      <c r="M112" s="1096"/>
      <c r="N112" s="1130"/>
      <c r="O112" s="1131">
        <f>IF(E112="",0,IFERROR(Z112*AC112,'Hidden Lists and Summaries'!$C$158))</f>
        <v>0</v>
      </c>
      <c r="P112" s="1132" t="s">
        <v>90</v>
      </c>
      <c r="Q112" s="1099"/>
      <c r="Y112" s="1653" t="e">
        <f>VLOOKUP(F112,CO2Equivalence[],2,FALSE)</f>
        <v>#N/A</v>
      </c>
      <c r="Z112" s="1610" t="e">
        <f t="shared" si="2"/>
        <v>#N/A</v>
      </c>
      <c r="AA112" s="1765" t="e">
        <f>IF(F112='Key Values'!$B$221,VLOOKUP('Coal Gasification'!E112,IndustrialProcessEmissions[],3,FALSE),VLOOKUP('Coal Gasification'!E112,IndustrialProcessEmissions[],2,FALSE))</f>
        <v>#N/A</v>
      </c>
      <c r="AB112" s="1688" t="e">
        <f>VLOOKUP(H112,massConv[#All], 3, FALSE)*G112</f>
        <v>#N/A</v>
      </c>
      <c r="AC112" s="1766" t="e">
        <f t="shared" si="1"/>
        <v>#N/A</v>
      </c>
      <c r="AD112" s="1584"/>
      <c r="AE112" s="1584"/>
      <c r="AF112" s="1584"/>
      <c r="AG112" s="1585"/>
      <c r="AH112" s="1623"/>
      <c r="AI112" s="1584"/>
      <c r="AJ112" s="1584"/>
      <c r="AK112" s="1584"/>
      <c r="AL112" s="1584"/>
      <c r="AM112" s="1585"/>
    </row>
    <row r="113" spans="1:39" x14ac:dyDescent="0.25">
      <c r="B113" s="1105"/>
      <c r="C113" s="1106"/>
      <c r="D113" s="1106"/>
      <c r="E113" s="1106"/>
      <c r="F113" s="1106"/>
      <c r="G113" s="1106"/>
      <c r="H113" s="1115"/>
      <c r="I113" s="1115"/>
      <c r="J113" s="1106"/>
      <c r="K113" s="1106"/>
      <c r="L113" s="1106"/>
      <c r="M113" s="1106"/>
      <c r="N113" s="1144" t="s">
        <v>120</v>
      </c>
      <c r="O113" s="1145">
        <f>SUM(O106:O112)</f>
        <v>0</v>
      </c>
      <c r="P113" s="1146" t="s">
        <v>90</v>
      </c>
      <c r="Q113" s="1107"/>
      <c r="Y113" s="1623"/>
      <c r="Z113" s="1584"/>
      <c r="AA113" s="1584"/>
      <c r="AB113" s="1584"/>
      <c r="AC113" s="1584"/>
      <c r="AD113" s="1584"/>
      <c r="AE113" s="1584"/>
      <c r="AF113" s="1584"/>
      <c r="AG113" s="1585"/>
      <c r="AH113" s="1623"/>
      <c r="AI113" s="1584">
        <f>O113</f>
        <v>0</v>
      </c>
      <c r="AJ113" s="1584"/>
      <c r="AK113" s="1584" t="str">
        <f>'Hidden Lists and Summaries'!$B$9</f>
        <v>Industrial Process</v>
      </c>
      <c r="AL113" s="1584"/>
      <c r="AM113" s="1585"/>
    </row>
    <row r="114" spans="1:39" ht="15.65" customHeight="1" x14ac:dyDescent="0.25">
      <c r="B114" s="1118"/>
      <c r="C114" s="1118"/>
      <c r="D114" s="1118"/>
      <c r="E114" s="1118"/>
      <c r="F114" s="1118"/>
      <c r="G114" s="1118"/>
      <c r="H114" s="1118"/>
      <c r="I114" s="1118"/>
      <c r="J114" s="1118"/>
      <c r="K114" s="1118"/>
      <c r="L114" s="1118"/>
      <c r="M114" s="1118"/>
      <c r="N114" s="1118"/>
      <c r="O114" s="1118"/>
      <c r="P114" s="1118"/>
      <c r="Q114" s="1118"/>
      <c r="Y114" s="1623"/>
      <c r="Z114" s="1584"/>
      <c r="AA114" s="1584"/>
      <c r="AB114" s="1584"/>
      <c r="AC114" s="1584"/>
      <c r="AD114" s="1584"/>
      <c r="AE114" s="1584"/>
      <c r="AF114" s="1584"/>
      <c r="AG114" s="1585"/>
      <c r="AH114" s="1623"/>
      <c r="AI114" s="1584"/>
      <c r="AJ114" s="1584"/>
      <c r="AK114" s="1584"/>
      <c r="AL114" s="1584"/>
      <c r="AM114" s="1585"/>
    </row>
    <row r="115" spans="1:39" ht="15.65" customHeight="1" x14ac:dyDescent="0.25">
      <c r="A115" s="1341"/>
      <c r="B115" s="1081"/>
      <c r="C115" s="1082"/>
      <c r="D115" s="1082"/>
      <c r="E115" s="1082"/>
      <c r="F115" s="1150" t="s">
        <v>518</v>
      </c>
      <c r="G115" s="1082"/>
      <c r="H115" s="1082"/>
      <c r="I115" s="1082"/>
      <c r="J115" s="1082"/>
      <c r="K115" s="1082"/>
      <c r="L115" s="1082"/>
      <c r="M115" s="1082"/>
      <c r="N115" s="1082"/>
      <c r="O115" s="1082"/>
      <c r="P115" s="1082"/>
      <c r="Q115" s="1083"/>
      <c r="Y115" s="1623"/>
      <c r="Z115" s="1584"/>
      <c r="AA115" s="1584"/>
      <c r="AB115" s="1584"/>
      <c r="AC115" s="1584"/>
      <c r="AD115" s="1584"/>
      <c r="AE115" s="1584"/>
      <c r="AF115" s="1584"/>
      <c r="AG115" s="1585"/>
      <c r="AH115" s="1623"/>
      <c r="AI115" s="1584"/>
      <c r="AJ115" s="1584"/>
      <c r="AK115" s="1584"/>
      <c r="AL115" s="1584"/>
      <c r="AM115" s="1585"/>
    </row>
    <row r="116" spans="1:39" ht="15.65" customHeight="1" x14ac:dyDescent="0.25">
      <c r="A116" s="1341"/>
      <c r="B116" s="1084"/>
      <c r="C116" s="1109" t="s">
        <v>519</v>
      </c>
      <c r="D116" s="1086"/>
      <c r="E116" s="1086"/>
      <c r="F116" s="1897" t="s">
        <v>526</v>
      </c>
      <c r="G116" s="1086"/>
      <c r="H116" s="1152"/>
      <c r="I116" s="1086"/>
      <c r="J116" s="1901" t="s">
        <v>1374</v>
      </c>
      <c r="K116" s="1899" t="s">
        <v>530</v>
      </c>
      <c r="L116" s="1086"/>
      <c r="M116" s="1086"/>
      <c r="N116" s="1086"/>
      <c r="O116" s="1086"/>
      <c r="P116" s="1086"/>
      <c r="Q116" s="1087"/>
      <c r="Y116" s="1725" t="s">
        <v>520</v>
      </c>
      <c r="Z116" s="1582" t="s">
        <v>521</v>
      </c>
      <c r="AA116" s="1582" t="s">
        <v>522</v>
      </c>
      <c r="AB116" s="1582" t="s">
        <v>586</v>
      </c>
      <c r="AC116" s="1582" t="s">
        <v>524</v>
      </c>
      <c r="AD116" s="1584"/>
      <c r="AE116" s="1584"/>
      <c r="AF116" s="1584"/>
      <c r="AG116" s="1585"/>
      <c r="AH116" s="1623"/>
      <c r="AI116" s="1584"/>
      <c r="AJ116" s="1584"/>
      <c r="AK116" s="1584"/>
      <c r="AL116" s="1584"/>
      <c r="AM116" s="1585"/>
    </row>
    <row r="117" spans="1:39" ht="23.25" customHeight="1" x14ac:dyDescent="0.25">
      <c r="A117" s="1341"/>
      <c r="B117" s="1084"/>
      <c r="C117" s="1086"/>
      <c r="D117" s="1086"/>
      <c r="E117" s="1342" t="s">
        <v>587</v>
      </c>
      <c r="F117" s="1898"/>
      <c r="G117" s="1342" t="s">
        <v>184</v>
      </c>
      <c r="H117" s="1257" t="s">
        <v>527</v>
      </c>
      <c r="I117" s="1342" t="s">
        <v>184</v>
      </c>
      <c r="J117" s="1900"/>
      <c r="K117" s="1900"/>
      <c r="L117" s="1253"/>
      <c r="M117" s="1253"/>
      <c r="N117" s="1255"/>
      <c r="O117" s="1342"/>
      <c r="P117" s="1343"/>
      <c r="Q117" s="1344"/>
      <c r="Y117" s="1805" t="s">
        <v>212</v>
      </c>
      <c r="Z117" s="1629" t="s">
        <v>212</v>
      </c>
      <c r="AA117" s="1629" t="s">
        <v>128</v>
      </c>
      <c r="AB117" s="1629" t="s">
        <v>588</v>
      </c>
      <c r="AC117" s="1629"/>
      <c r="AD117" s="1584"/>
      <c r="AE117" s="1584"/>
      <c r="AF117" s="1584"/>
      <c r="AG117" s="1585"/>
      <c r="AH117" s="1623"/>
      <c r="AI117" s="1584"/>
      <c r="AJ117" s="1584"/>
      <c r="AK117" s="1584"/>
      <c r="AL117" s="1584"/>
      <c r="AM117" s="1585"/>
    </row>
    <row r="118" spans="1:39" ht="15.65" customHeight="1" x14ac:dyDescent="0.25">
      <c r="A118" s="1341"/>
      <c r="B118" s="1217"/>
      <c r="C118" s="1218"/>
      <c r="D118" s="1218"/>
      <c r="E118" s="1218"/>
      <c r="F118" s="1218"/>
      <c r="G118" s="1218"/>
      <c r="H118" s="1218"/>
      <c r="I118" s="1218"/>
      <c r="J118" s="1124"/>
      <c r="K118" s="1124"/>
      <c r="L118" s="1124"/>
      <c r="M118" s="1124"/>
      <c r="N118" s="1218"/>
      <c r="O118" s="1218"/>
      <c r="P118" s="1218"/>
      <c r="Q118" s="1219"/>
      <c r="Y118" s="1637"/>
      <c r="Z118" s="1594"/>
      <c r="AA118" s="1594"/>
      <c r="AB118" s="1594"/>
      <c r="AC118" s="1639"/>
      <c r="AD118" s="1584"/>
      <c r="AE118" s="1584"/>
      <c r="AF118" s="1584"/>
      <c r="AG118" s="1585"/>
      <c r="AH118" s="1623"/>
      <c r="AI118" s="1584"/>
      <c r="AJ118" s="1584"/>
      <c r="AK118" s="1584"/>
      <c r="AL118" s="1584"/>
      <c r="AM118" s="1585"/>
    </row>
    <row r="119" spans="1:39" ht="15.65" customHeight="1" x14ac:dyDescent="0.25">
      <c r="A119" s="1341"/>
      <c r="B119" s="1158"/>
      <c r="C119" s="1220" t="s">
        <v>532</v>
      </c>
      <c r="D119" s="1220"/>
      <c r="E119" s="1345" t="s">
        <v>589</v>
      </c>
      <c r="F119" s="358"/>
      <c r="G119" s="443"/>
      <c r="H119" s="1095"/>
      <c r="I119" s="1346"/>
      <c r="J119" s="1275"/>
      <c r="K119" s="1347"/>
      <c r="L119" s="1347"/>
      <c r="M119" s="1347"/>
      <c r="N119" s="1220"/>
      <c r="O119" s="1220"/>
      <c r="P119" s="1220"/>
      <c r="Q119" s="1221"/>
      <c r="Y119" s="1623" t="e">
        <f>IF(F119&lt;&gt;"",F119*VLOOKUP(G119,volConv[#All],2,FALSE),VLOOKUP(E119,Table5[#All],2,FALSE)*gasification_hydrogenProductionQuantity*1000)</f>
        <v>#N/A</v>
      </c>
      <c r="Z119" s="1584" t="e">
        <f>Y119*(1-AC119)</f>
        <v>#N/A</v>
      </c>
      <c r="AA119" s="1806" t="e">
        <f>gasification_hydrogenProductionQuantity*1000*AC119*AB119</f>
        <v>#N/A</v>
      </c>
      <c r="AB119" s="1584">
        <f>VLOOKUP(E119,Table12[#All],3,FALSE)</f>
        <v>0</v>
      </c>
      <c r="AC119" s="1585">
        <v>0</v>
      </c>
      <c r="AD119" s="1584"/>
      <c r="AE119" s="1584"/>
      <c r="AF119" s="1584"/>
      <c r="AG119" s="1585"/>
      <c r="AH119" s="1623"/>
      <c r="AI119" s="1584"/>
      <c r="AJ119" s="1584"/>
      <c r="AK119" s="1584"/>
      <c r="AL119" s="1584"/>
      <c r="AM119" s="1585"/>
    </row>
    <row r="120" spans="1:39" ht="15.65" customHeight="1" x14ac:dyDescent="0.25">
      <c r="A120" s="1341"/>
      <c r="B120" s="1158"/>
      <c r="C120" s="1220" t="s">
        <v>532</v>
      </c>
      <c r="D120" s="1220"/>
      <c r="E120" s="1348" t="s">
        <v>590</v>
      </c>
      <c r="F120" s="442"/>
      <c r="G120" s="444"/>
      <c r="H120" s="1349"/>
      <c r="I120" s="1346"/>
      <c r="J120" s="1275"/>
      <c r="K120" s="1347"/>
      <c r="L120" s="1347"/>
      <c r="M120" s="1347"/>
      <c r="N120" s="1220"/>
      <c r="O120" s="1220"/>
      <c r="P120" s="1220"/>
      <c r="Q120" s="1221"/>
      <c r="Y120" s="1623" t="e">
        <f>IF(F120&lt;&gt;"",F120*VLOOKUP(G120,volConv[#All],2,FALSE),VLOOKUP(E120,Table5[#All],2,FALSE)*gasification_hydrogenProductionQuantity*1000)</f>
        <v>#N/A</v>
      </c>
      <c r="Z120" s="1584" t="e">
        <f>Y120*(1-AC120)</f>
        <v>#N/A</v>
      </c>
      <c r="AA120" s="1806" t="e">
        <f>gasification_hydrogenProductionQuantity*1000*AC120*AB120</f>
        <v>#N/A</v>
      </c>
      <c r="AB120" s="1584">
        <f>VLOOKUP(E120,Table12[#All],3,FALSE)</f>
        <v>0</v>
      </c>
      <c r="AC120" s="1585">
        <v>0</v>
      </c>
      <c r="AD120" s="1584"/>
      <c r="AE120" s="1584"/>
      <c r="AF120" s="1584"/>
      <c r="AG120" s="1585"/>
      <c r="AH120" s="1623"/>
      <c r="AI120" s="1584"/>
      <c r="AJ120" s="1584"/>
      <c r="AK120" s="1584"/>
      <c r="AL120" s="1584"/>
      <c r="AM120" s="1585"/>
    </row>
    <row r="121" spans="1:39" ht="15.65" customHeight="1" x14ac:dyDescent="0.25">
      <c r="A121" s="1341"/>
      <c r="B121" s="1158"/>
      <c r="C121" s="1220" t="s">
        <v>532</v>
      </c>
      <c r="D121" s="1220"/>
      <c r="E121" s="1350" t="s">
        <v>591</v>
      </c>
      <c r="F121" s="394"/>
      <c r="G121" s="394"/>
      <c r="H121" s="418"/>
      <c r="I121" s="445"/>
      <c r="J121" s="446"/>
      <c r="K121" s="447"/>
      <c r="L121" s="1256"/>
      <c r="M121" s="1256"/>
      <c r="N121" s="1220"/>
      <c r="O121" s="1220"/>
      <c r="P121" s="1220"/>
      <c r="Q121" s="1221"/>
      <c r="Y121" s="1653" t="e">
        <f>IF(F121&lt;&gt;"",F121*VLOOKUP(G121,volConv[#All],2,FALSE),VLOOKUP(E121,Table5[#All],2,FALSE)*gasification_hydrogenProductionQuantity*1000)</f>
        <v>#N/A</v>
      </c>
      <c r="Z121" s="1610" t="e">
        <f>Y121*(1-AC121)</f>
        <v>#N/A</v>
      </c>
      <c r="AA121" s="1767" t="e">
        <f>IF(H121&lt;&gt;"",H121*VLOOKUP(I121,massConv[#All],3,FALSE),gasification_hydrogenProductionQuantity*1000*AC121*AB121)</f>
        <v>#N/A</v>
      </c>
      <c r="AB121" s="1610">
        <f>VLOOKUP(E121,Table12[#All],3,FALSE)</f>
        <v>0.14684787626342799</v>
      </c>
      <c r="AC121" s="1655">
        <f>IF(E121='Key Values'!$B$271, 0, K121)</f>
        <v>0</v>
      </c>
      <c r="AD121" s="1584"/>
      <c r="AE121" s="1584"/>
      <c r="AF121" s="1584"/>
      <c r="AG121" s="1585"/>
      <c r="AH121" s="1623"/>
      <c r="AI121" s="1584"/>
      <c r="AJ121" s="1584"/>
      <c r="AK121" s="1584"/>
      <c r="AL121" s="1584"/>
      <c r="AM121" s="1585"/>
    </row>
    <row r="122" spans="1:39" ht="15.65" customHeight="1" x14ac:dyDescent="0.25">
      <c r="A122" s="1341"/>
      <c r="B122" s="1223"/>
      <c r="C122" s="1161"/>
      <c r="D122" s="1161"/>
      <c r="E122" s="1161"/>
      <c r="F122" s="1161"/>
      <c r="G122" s="1161"/>
      <c r="H122" s="1161"/>
      <c r="I122" s="1161"/>
      <c r="J122" s="1161"/>
      <c r="K122" s="1161"/>
      <c r="L122" s="1161"/>
      <c r="M122" s="1161"/>
      <c r="N122" s="1161"/>
      <c r="O122" s="1161"/>
      <c r="P122" s="1161"/>
      <c r="Q122" s="1227"/>
      <c r="Y122" s="1623"/>
      <c r="Z122" s="1584"/>
      <c r="AA122" s="1584"/>
      <c r="AB122" s="1584"/>
      <c r="AC122" s="1584"/>
      <c r="AD122" s="1584"/>
      <c r="AE122" s="1584"/>
      <c r="AF122" s="1584"/>
      <c r="AG122" s="1585"/>
      <c r="AH122" s="1623"/>
      <c r="AI122" s="1584"/>
      <c r="AJ122" s="1584"/>
      <c r="AK122" s="1584"/>
      <c r="AL122" s="1584"/>
      <c r="AM122" s="1585"/>
    </row>
    <row r="123" spans="1:39" ht="15.65" customHeight="1" x14ac:dyDescent="0.25">
      <c r="A123" s="1341"/>
      <c r="B123" s="1118"/>
      <c r="C123" s="1118"/>
      <c r="D123" s="1118"/>
      <c r="E123" s="1118"/>
      <c r="F123" s="1118"/>
      <c r="G123" s="1118"/>
      <c r="H123" s="1118"/>
      <c r="I123" s="1118"/>
      <c r="J123" s="1118"/>
      <c r="K123" s="1118"/>
      <c r="L123" s="1118"/>
      <c r="M123" s="1118"/>
      <c r="N123" s="1118"/>
      <c r="O123" s="1118"/>
      <c r="P123" s="1118"/>
      <c r="Q123" s="1118"/>
      <c r="Y123" s="1623"/>
      <c r="Z123" s="1584"/>
      <c r="AA123" s="1584"/>
      <c r="AB123" s="1584"/>
      <c r="AC123" s="1584"/>
      <c r="AD123" s="1584"/>
      <c r="AE123" s="1584"/>
      <c r="AF123" s="1584"/>
      <c r="AG123" s="1585"/>
      <c r="AH123" s="1623"/>
      <c r="AI123" s="1584"/>
      <c r="AJ123" s="1584"/>
      <c r="AK123" s="1584"/>
      <c r="AL123" s="1584"/>
      <c r="AM123" s="1585"/>
    </row>
    <row r="124" spans="1:39" ht="15.65" customHeight="1" x14ac:dyDescent="0.25">
      <c r="A124" s="1341"/>
      <c r="B124" s="1081"/>
      <c r="C124" s="1082"/>
      <c r="D124" s="1082"/>
      <c r="E124" s="1082"/>
      <c r="F124" s="1150" t="s">
        <v>534</v>
      </c>
      <c r="G124" s="1082"/>
      <c r="H124" s="1082"/>
      <c r="I124" s="1082"/>
      <c r="J124" s="1082"/>
      <c r="K124" s="1082"/>
      <c r="L124" s="1082"/>
      <c r="M124" s="1082"/>
      <c r="N124" s="1082"/>
      <c r="O124" s="1082"/>
      <c r="P124" s="1082"/>
      <c r="Q124" s="1083"/>
      <c r="Y124" s="1623"/>
      <c r="Z124" s="1584"/>
      <c r="AA124" s="1584"/>
      <c r="AB124" s="1584"/>
      <c r="AC124" s="1584"/>
      <c r="AD124" s="1584"/>
      <c r="AE124" s="1584"/>
      <c r="AF124" s="1584"/>
      <c r="AG124" s="1585"/>
      <c r="AH124" s="1623"/>
      <c r="AI124" s="1584"/>
      <c r="AJ124" s="1584"/>
      <c r="AK124" s="1584"/>
      <c r="AL124" s="1584"/>
      <c r="AM124" s="1585"/>
    </row>
    <row r="125" spans="1:39" ht="15.65" customHeight="1" x14ac:dyDescent="0.25">
      <c r="A125" s="1341"/>
      <c r="B125" s="1084"/>
      <c r="C125" s="1109" t="s">
        <v>535</v>
      </c>
      <c r="D125" s="1086"/>
      <c r="E125" s="1152"/>
      <c r="F125" s="1152"/>
      <c r="G125" s="1086"/>
      <c r="H125" s="1152"/>
      <c r="I125" s="1086"/>
      <c r="J125" s="1086"/>
      <c r="K125" s="1086"/>
      <c r="L125" s="1086"/>
      <c r="M125" s="1086"/>
      <c r="N125" s="1086"/>
      <c r="O125" s="1086"/>
      <c r="P125" s="1086"/>
      <c r="Q125" s="1087"/>
      <c r="Y125" s="1623"/>
      <c r="Z125" s="1584"/>
      <c r="AA125" s="1584"/>
      <c r="AB125" s="1584"/>
      <c r="AC125" s="1584"/>
      <c r="AD125" s="1584"/>
      <c r="AE125" s="1584"/>
      <c r="AF125" s="1584"/>
      <c r="AG125" s="1585"/>
      <c r="AH125" s="1623"/>
      <c r="AI125" s="1584"/>
      <c r="AJ125" s="1584"/>
      <c r="AK125" s="1584"/>
      <c r="AL125" s="1584"/>
      <c r="AM125" s="1585"/>
    </row>
    <row r="126" spans="1:39" ht="31" x14ac:dyDescent="0.25">
      <c r="A126" s="1341"/>
      <c r="B126" s="1089"/>
      <c r="C126" s="1090"/>
      <c r="D126" s="1090"/>
      <c r="E126" s="1119" t="s">
        <v>536</v>
      </c>
      <c r="F126" s="1092"/>
      <c r="G126" s="1091"/>
      <c r="H126" s="1092"/>
      <c r="I126" s="1111"/>
      <c r="J126" s="1093"/>
      <c r="K126" s="1093"/>
      <c r="L126" s="1093"/>
      <c r="M126" s="1093"/>
      <c r="N126" s="1093"/>
      <c r="O126" s="1091" t="s">
        <v>82</v>
      </c>
      <c r="P126" s="1093"/>
      <c r="Q126" s="1112"/>
      <c r="Y126" s="1738" t="s">
        <v>1333</v>
      </c>
      <c r="Z126" s="1627" t="s">
        <v>537</v>
      </c>
      <c r="AA126" s="1582" t="s">
        <v>592</v>
      </c>
      <c r="AB126" s="1582" t="s">
        <v>300</v>
      </c>
      <c r="AC126" s="1582" t="s">
        <v>593</v>
      </c>
      <c r="AD126" s="1627" t="s">
        <v>540</v>
      </c>
      <c r="AE126" s="1582" t="s">
        <v>594</v>
      </c>
      <c r="AF126" s="1582" t="s">
        <v>542</v>
      </c>
      <c r="AG126" s="1585"/>
      <c r="AH126" s="1623"/>
      <c r="AI126" s="1584"/>
      <c r="AJ126" s="1584"/>
      <c r="AK126" s="1584"/>
      <c r="AL126" s="1584"/>
      <c r="AM126" s="1585"/>
    </row>
    <row r="127" spans="1:39" x14ac:dyDescent="0.25">
      <c r="A127" s="1341"/>
      <c r="B127" s="1170"/>
      <c r="C127" s="1171"/>
      <c r="D127" s="1171"/>
      <c r="E127" s="1351"/>
      <c r="F127" s="1173"/>
      <c r="G127" s="1172"/>
      <c r="H127" s="1173"/>
      <c r="I127" s="1352"/>
      <c r="J127" s="1174"/>
      <c r="K127" s="1174"/>
      <c r="L127" s="1174"/>
      <c r="M127" s="1174"/>
      <c r="N127" s="1174"/>
      <c r="O127" s="1172"/>
      <c r="P127" s="1174"/>
      <c r="Q127" s="1332"/>
      <c r="Y127" s="1738"/>
      <c r="Z127" s="1627"/>
      <c r="AA127" s="1582"/>
      <c r="AB127" s="1582"/>
      <c r="AC127" s="1582"/>
      <c r="AD127" s="1627"/>
      <c r="AE127" s="1582"/>
      <c r="AF127" s="1755"/>
      <c r="AG127" s="1585"/>
      <c r="AH127" s="1623"/>
      <c r="AI127" s="1584"/>
      <c r="AJ127" s="1584"/>
      <c r="AK127" s="1584"/>
      <c r="AL127" s="1584"/>
      <c r="AM127" s="1585"/>
    </row>
    <row r="128" spans="1:39" ht="15.65" customHeight="1" x14ac:dyDescent="0.25">
      <c r="A128" s="1341"/>
      <c r="B128" s="1095"/>
      <c r="C128" s="1353" t="s">
        <v>595</v>
      </c>
      <c r="D128" s="1096"/>
      <c r="E128" s="1098"/>
      <c r="F128" s="1098"/>
      <c r="G128" s="1113"/>
      <c r="H128" s="1098"/>
      <c r="I128" s="1098"/>
      <c r="J128" s="1096"/>
      <c r="K128" s="1096"/>
      <c r="L128" s="1096"/>
      <c r="M128" s="1096"/>
      <c r="N128" s="1125"/>
      <c r="O128" s="1126" t="s">
        <v>543</v>
      </c>
      <c r="P128" s="1155"/>
      <c r="Q128" s="1099"/>
      <c r="Y128" s="1759"/>
      <c r="Z128" s="1628" t="s">
        <v>596</v>
      </c>
      <c r="AA128" s="1582" t="s">
        <v>212</v>
      </c>
      <c r="AB128" s="1807"/>
      <c r="AC128" s="1581" t="s">
        <v>597</v>
      </c>
      <c r="AD128" s="1628" t="s">
        <v>546</v>
      </c>
      <c r="AE128" s="1581" t="s">
        <v>128</v>
      </c>
      <c r="AF128" s="1755"/>
      <c r="AG128" s="1585"/>
      <c r="AH128" s="1623"/>
      <c r="AI128" s="1584"/>
      <c r="AJ128" s="1584"/>
      <c r="AK128" s="1584"/>
      <c r="AL128" s="1584"/>
      <c r="AM128" s="1585"/>
    </row>
    <row r="129" spans="1:39" ht="15.65" customHeight="1" x14ac:dyDescent="0.25">
      <c r="A129" s="1341"/>
      <c r="B129" s="1095"/>
      <c r="C129" s="1113" t="s">
        <v>547</v>
      </c>
      <c r="D129" s="1096"/>
      <c r="E129" s="492"/>
      <c r="F129" s="1098"/>
      <c r="G129" s="1188"/>
      <c r="H129" s="1098"/>
      <c r="I129" s="1098"/>
      <c r="J129" s="1096"/>
      <c r="K129" s="1096"/>
      <c r="L129" s="1096"/>
      <c r="M129" s="1096"/>
      <c r="N129" s="1130"/>
      <c r="O129" s="1131" t="e">
        <f>IF(gasification_hydrogenProductionQuantity="",0,IFERROR(AB129*AA129*Y129*Z129/AC129,'Hidden Lists and Summaries'!$C$158))</f>
        <v>#N/A</v>
      </c>
      <c r="P129" s="1132" t="s">
        <v>90</v>
      </c>
      <c r="Q129" s="1099"/>
      <c r="Y129" s="1682">
        <f>IF(E129&lt;&gt;"",E129,VLOOKUP($E$119,Table5[#All],3,FALSE))</f>
        <v>0.98710033543940501</v>
      </c>
      <c r="Z129" s="1594">
        <f>VLOOKUP($E$119,Table5[#All],4,FALSE)</f>
        <v>44.01</v>
      </c>
      <c r="AA129" s="1684" t="e">
        <f>$Z$119</f>
        <v>#N/A</v>
      </c>
      <c r="AB129" s="1594">
        <f>VLOOKUP(AF129,Table14[#All],2,FALSE)</f>
        <v>1</v>
      </c>
      <c r="AC129" s="1594" cm="1">
        <f t="array" ref="AC129">Table7[Value]</f>
        <v>23.684999999999999</v>
      </c>
      <c r="AD129" s="1594"/>
      <c r="AE129" s="1594"/>
      <c r="AF129" s="1808" t="s">
        <v>548</v>
      </c>
      <c r="AG129" s="1585"/>
      <c r="AH129" s="1623"/>
      <c r="AI129" s="1584"/>
      <c r="AJ129" s="1584"/>
      <c r="AK129" s="1584"/>
      <c r="AL129" s="1584"/>
      <c r="AM129" s="1585"/>
    </row>
    <row r="130" spans="1:39" ht="15.65" customHeight="1" x14ac:dyDescent="0.25">
      <c r="A130" s="1341"/>
      <c r="B130" s="1095"/>
      <c r="C130" s="1113" t="s">
        <v>549</v>
      </c>
      <c r="D130" s="1096"/>
      <c r="E130" s="493"/>
      <c r="F130" s="1098"/>
      <c r="G130" s="1258"/>
      <c r="H130" s="1098"/>
      <c r="I130" s="1098"/>
      <c r="J130" s="1096"/>
      <c r="K130" s="1096"/>
      <c r="L130" s="1096"/>
      <c r="M130" s="1096"/>
      <c r="N130" s="1130"/>
      <c r="O130" s="1131" t="e">
        <f>IF(gasification_hydrogenProductionQuantity="",0,IFERROR(AB130*AA130*Y130*Z130/AC130,'Hidden Lists and Summaries'!$C$158))</f>
        <v>#N/A</v>
      </c>
      <c r="P130" s="1132" t="s">
        <v>90</v>
      </c>
      <c r="Q130" s="1099"/>
      <c r="Y130" s="1685">
        <f>IF(E130&lt;&gt;"",E130,VLOOKUP($E$119,Table5[#All],5,FALSE))</f>
        <v>0</v>
      </c>
      <c r="Z130" s="1584">
        <f>VLOOKUP($E$119,Table5[#All],6,FALSE)</f>
        <v>16.042999999999999</v>
      </c>
      <c r="AA130" s="1624" t="e">
        <f>$Z$119</f>
        <v>#N/A</v>
      </c>
      <c r="AB130" s="1584">
        <f>VLOOKUP(AF130,Table14[#All],2,FALSE)</f>
        <v>28</v>
      </c>
      <c r="AC130" s="1584" cm="1">
        <f t="array" ref="AC130">Table7[Value]</f>
        <v>23.684999999999999</v>
      </c>
      <c r="AD130" s="1584"/>
      <c r="AE130" s="1584"/>
      <c r="AF130" s="1744" t="s">
        <v>550</v>
      </c>
      <c r="AG130" s="1585"/>
      <c r="AH130" s="1623"/>
      <c r="AI130" s="1584"/>
      <c r="AJ130" s="1584"/>
      <c r="AK130" s="1584"/>
      <c r="AL130" s="1584"/>
      <c r="AM130" s="1585"/>
    </row>
    <row r="131" spans="1:39" ht="15.65" customHeight="1" x14ac:dyDescent="0.25">
      <c r="A131" s="1341"/>
      <c r="B131" s="1095"/>
      <c r="C131" s="1113" t="s">
        <v>551</v>
      </c>
      <c r="D131" s="1096"/>
      <c r="E131" s="494"/>
      <c r="F131" s="1098"/>
      <c r="G131" s="1258"/>
      <c r="H131" s="1098"/>
      <c r="I131" s="1098"/>
      <c r="J131" s="1096"/>
      <c r="K131" s="1096"/>
      <c r="L131" s="1096"/>
      <c r="M131" s="1096"/>
      <c r="N131" s="1130"/>
      <c r="O131" s="1131" t="e">
        <f>IF(gasification_hydrogenProductionQuantity="",0,IFERROR(AB131*AA131*Y131*Z131/AC131,'Hidden Lists and Summaries'!$C$158))</f>
        <v>#N/A</v>
      </c>
      <c r="P131" s="1132" t="s">
        <v>90</v>
      </c>
      <c r="Q131" s="1099"/>
      <c r="Y131" s="1685">
        <f>IF(E131&lt;&gt;"",E131,VLOOKUP($E$119,Table5[#All],7,FALSE))</f>
        <v>0</v>
      </c>
      <c r="Z131" s="1584">
        <f>VLOOKUP($E$119,Table5[#All],8,FALSE)</f>
        <v>44.012500000000003</v>
      </c>
      <c r="AA131" s="1624" t="e">
        <f>$Z$119</f>
        <v>#N/A</v>
      </c>
      <c r="AB131" s="1584">
        <f>VLOOKUP(AF131,Table14[#All],2,FALSE)</f>
        <v>265</v>
      </c>
      <c r="AC131" s="1584" cm="1">
        <f t="array" ref="AC131">Table7[Value]</f>
        <v>23.684999999999999</v>
      </c>
      <c r="AD131" s="1584"/>
      <c r="AE131" s="1584"/>
      <c r="AF131" s="1744" t="s">
        <v>552</v>
      </c>
      <c r="AG131" s="1585"/>
      <c r="AH131" s="1623"/>
      <c r="AI131" s="1584"/>
      <c r="AJ131" s="1584"/>
      <c r="AK131" s="1584"/>
      <c r="AL131" s="1584"/>
      <c r="AM131" s="1585"/>
    </row>
    <row r="132" spans="1:39" ht="15.65" customHeight="1" x14ac:dyDescent="0.25">
      <c r="A132" s="1341"/>
      <c r="B132" s="1095"/>
      <c r="C132" s="1259" t="s">
        <v>598</v>
      </c>
      <c r="D132" s="1096"/>
      <c r="E132" s="1220"/>
      <c r="F132" s="1098"/>
      <c r="G132" s="1220"/>
      <c r="H132" s="1098"/>
      <c r="I132" s="1098"/>
      <c r="J132" s="1096"/>
      <c r="K132" s="1096"/>
      <c r="L132" s="1096"/>
      <c r="M132" s="1096"/>
      <c r="N132" s="1130"/>
      <c r="O132" s="1131"/>
      <c r="P132" s="1132"/>
      <c r="Q132" s="1099"/>
      <c r="Y132" s="1685"/>
      <c r="Z132" s="1584"/>
      <c r="AA132" s="1624"/>
      <c r="AB132" s="1584"/>
      <c r="AC132" s="1584"/>
      <c r="AD132" s="1584"/>
      <c r="AE132" s="1584"/>
      <c r="AF132" s="1354"/>
      <c r="AG132" s="1585"/>
      <c r="AH132" s="1623"/>
      <c r="AI132" s="1584"/>
      <c r="AJ132" s="1584"/>
      <c r="AK132" s="1584"/>
      <c r="AL132" s="1584"/>
      <c r="AM132" s="1585"/>
    </row>
    <row r="133" spans="1:39" ht="15.65" customHeight="1" x14ac:dyDescent="0.25">
      <c r="A133" s="1341"/>
      <c r="B133" s="1095"/>
      <c r="C133" s="1113" t="s">
        <v>547</v>
      </c>
      <c r="D133" s="1096"/>
      <c r="E133" s="492"/>
      <c r="F133" s="1098"/>
      <c r="G133" s="1188"/>
      <c r="H133" s="1098"/>
      <c r="I133" s="1098"/>
      <c r="J133" s="1096"/>
      <c r="K133" s="1096"/>
      <c r="L133" s="1096"/>
      <c r="M133" s="1096"/>
      <c r="N133" s="1130"/>
      <c r="O133" s="1131" t="e">
        <f>IF(gasification_hydrogenProductionQuantity="",0,IFERROR(AB133*AA133*Y133*Z133/AC133,'Hidden Lists and Summaries'!$C$158))</f>
        <v>#N/A</v>
      </c>
      <c r="P133" s="1132" t="s">
        <v>90</v>
      </c>
      <c r="Q133" s="1099"/>
      <c r="Y133" s="1685">
        <f>IF(E133&lt;&gt;"",E133,VLOOKUP($E$120,Table5[#All],3,FALSE))</f>
        <v>0.99922766712858402</v>
      </c>
      <c r="Z133" s="1584">
        <f>VLOOKUP($E$120,Table5[#All],4,FALSE)</f>
        <v>44.01</v>
      </c>
      <c r="AA133" s="1624" t="e">
        <f>$Z$120</f>
        <v>#N/A</v>
      </c>
      <c r="AB133" s="1584">
        <f>VLOOKUP(AF133,Table14[#All],2,FALSE)</f>
        <v>1</v>
      </c>
      <c r="AC133" s="1584" cm="1">
        <f t="array" ref="AC133">Table7[Value]</f>
        <v>23.684999999999999</v>
      </c>
      <c r="AD133" s="1584">
        <f>VLOOKUP($E$119,Table12[#All],2,FALSE)</f>
        <v>0</v>
      </c>
      <c r="AE133" s="1584"/>
      <c r="AF133" s="1744" t="s">
        <v>548</v>
      </c>
      <c r="AG133" s="1585"/>
      <c r="AH133" s="1623"/>
      <c r="AI133" s="1584"/>
      <c r="AJ133" s="1584"/>
      <c r="AK133" s="1584"/>
      <c r="AL133" s="1584"/>
      <c r="AM133" s="1585"/>
    </row>
    <row r="134" spans="1:39" ht="15.65" customHeight="1" x14ac:dyDescent="0.25">
      <c r="A134" s="1341"/>
      <c r="B134" s="1095"/>
      <c r="C134" s="1113" t="s">
        <v>549</v>
      </c>
      <c r="D134" s="1096"/>
      <c r="E134" s="493"/>
      <c r="F134" s="1098"/>
      <c r="G134" s="1258"/>
      <c r="H134" s="1098"/>
      <c r="I134" s="1098"/>
      <c r="J134" s="1096"/>
      <c r="K134" s="1096"/>
      <c r="L134" s="1096"/>
      <c r="M134" s="1096"/>
      <c r="N134" s="1130"/>
      <c r="O134" s="1131" t="e">
        <f>IF(gasification_hydrogenProductionQuantity="",0,IFERROR(AB134*AA134*Y134*Z134/AC134,'Hidden Lists and Summaries'!$C$158))</f>
        <v>#N/A</v>
      </c>
      <c r="P134" s="1132" t="s">
        <v>90</v>
      </c>
      <c r="Q134" s="1099"/>
      <c r="Y134" s="1685">
        <f>IF(E134&lt;&gt;"",E134,VLOOKUP($E$120,Table5[#All],5,FALSE))</f>
        <v>0</v>
      </c>
      <c r="Z134" s="1584">
        <f>VLOOKUP($E$120,Table5[#All],6,FALSE)</f>
        <v>16.042999999999999</v>
      </c>
      <c r="AA134" s="1624" t="e">
        <f>$Z$120</f>
        <v>#N/A</v>
      </c>
      <c r="AB134" s="1584">
        <f>VLOOKUP(AF134,Table14[#All],2,FALSE)</f>
        <v>28</v>
      </c>
      <c r="AC134" s="1584" cm="1">
        <f t="array" ref="AC134">Table7[Value]</f>
        <v>23.684999999999999</v>
      </c>
      <c r="AD134" s="1584">
        <f>VLOOKUP($E$119,Table12[#All],2,FALSE)</f>
        <v>0</v>
      </c>
      <c r="AE134" s="1584"/>
      <c r="AF134" s="1744" t="s">
        <v>550</v>
      </c>
      <c r="AG134" s="1585"/>
      <c r="AH134" s="1623"/>
      <c r="AI134" s="1584"/>
      <c r="AJ134" s="1584"/>
      <c r="AK134" s="1584"/>
      <c r="AL134" s="1584"/>
      <c r="AM134" s="1585"/>
    </row>
    <row r="135" spans="1:39" ht="15.65" customHeight="1" x14ac:dyDescent="0.25">
      <c r="A135" s="1341"/>
      <c r="B135" s="1095"/>
      <c r="C135" s="1113" t="s">
        <v>551</v>
      </c>
      <c r="D135" s="1096"/>
      <c r="E135" s="495"/>
      <c r="F135" s="1098"/>
      <c r="G135" s="1258"/>
      <c r="H135" s="1098"/>
      <c r="I135" s="1098"/>
      <c r="J135" s="1096"/>
      <c r="K135" s="1096"/>
      <c r="L135" s="1096"/>
      <c r="M135" s="1096"/>
      <c r="N135" s="1130"/>
      <c r="O135" s="1131" t="e">
        <f>IF(gasification_hydrogenProductionQuantity="",0,IFERROR(AB135*AA135*Y135*Z135/AC135,'Hidden Lists and Summaries'!$C$158))</f>
        <v>#N/A</v>
      </c>
      <c r="P135" s="1132" t="s">
        <v>90</v>
      </c>
      <c r="Q135" s="1099"/>
      <c r="Y135" s="1685">
        <f>IF(E135&lt;&gt;"",E135,VLOOKUP($E$120,Table5[#All],7,FALSE))</f>
        <v>0</v>
      </c>
      <c r="Z135" s="1584">
        <f>VLOOKUP($E$120,Table5[#All],8,FALSE)</f>
        <v>44.012500000000003</v>
      </c>
      <c r="AA135" s="1624" t="e">
        <f>$Z$120</f>
        <v>#N/A</v>
      </c>
      <c r="AB135" s="1584">
        <f>VLOOKUP(AF135,Table14[#All],2,FALSE)</f>
        <v>265</v>
      </c>
      <c r="AC135" s="1584" cm="1">
        <f t="array" ref="AC135">Table7[Value]</f>
        <v>23.684999999999999</v>
      </c>
      <c r="AD135" s="1584">
        <f>VLOOKUP($E$119,Table12[#All],2,FALSE)</f>
        <v>0</v>
      </c>
      <c r="AE135" s="1584"/>
      <c r="AF135" s="1744" t="s">
        <v>552</v>
      </c>
      <c r="AG135" s="1585"/>
      <c r="AH135" s="1623"/>
      <c r="AI135" s="1584"/>
      <c r="AJ135" s="1584"/>
      <c r="AK135" s="1584"/>
      <c r="AL135" s="1584"/>
      <c r="AM135" s="1585"/>
    </row>
    <row r="136" spans="1:39" ht="15.65" customHeight="1" x14ac:dyDescent="0.25">
      <c r="A136" s="1341"/>
      <c r="B136" s="1095"/>
      <c r="C136" s="1259" t="s">
        <v>591</v>
      </c>
      <c r="D136" s="1096"/>
      <c r="E136" s="1101"/>
      <c r="F136" s="1098"/>
      <c r="G136" s="1188"/>
      <c r="H136" s="1098"/>
      <c r="I136" s="1098"/>
      <c r="J136" s="1096"/>
      <c r="K136" s="1096"/>
      <c r="L136" s="1096"/>
      <c r="M136" s="1096"/>
      <c r="N136" s="1130"/>
      <c r="O136" s="1131"/>
      <c r="P136" s="1131"/>
      <c r="Q136" s="1277"/>
      <c r="Y136" s="1685"/>
      <c r="Z136" s="1584"/>
      <c r="AA136" s="1624"/>
      <c r="AB136" s="1584"/>
      <c r="AC136" s="1584"/>
      <c r="AD136" s="1584"/>
      <c r="AE136" s="1584"/>
      <c r="AF136" s="1354"/>
      <c r="AG136" s="1585"/>
      <c r="AH136" s="1623"/>
      <c r="AI136" s="1584"/>
      <c r="AJ136" s="1584"/>
      <c r="AK136" s="1584"/>
      <c r="AL136" s="1584"/>
      <c r="AM136" s="1585"/>
    </row>
    <row r="137" spans="1:39" ht="15.65" customHeight="1" x14ac:dyDescent="0.25">
      <c r="A137" s="1341"/>
      <c r="B137" s="1095"/>
      <c r="C137" s="1113" t="s">
        <v>547</v>
      </c>
      <c r="D137" s="1096"/>
      <c r="E137" s="496"/>
      <c r="F137" s="1098"/>
      <c r="G137" s="1188"/>
      <c r="H137" s="1098"/>
      <c r="I137" s="1098"/>
      <c r="J137" s="1096"/>
      <c r="K137" s="1096"/>
      <c r="L137" s="1096"/>
      <c r="M137" s="1096"/>
      <c r="N137" s="1130"/>
      <c r="O137" s="1131" t="e">
        <f>IF(gasification_hydrogenProductionQuantity="",0,IFERROR(AB137*AA137*Y137*Z137/AC137,'Hidden Lists and Summaries'!$C$158))</f>
        <v>#N/A</v>
      </c>
      <c r="P137" s="1132" t="s">
        <v>90</v>
      </c>
      <c r="Q137" s="1099"/>
      <c r="Y137" s="1685">
        <f>IF(E137&lt;&gt;"",E137,VLOOKUP($E$121,Table5[#All],3,FALSE))</f>
        <v>5.2267408062247299E-2</v>
      </c>
      <c r="Z137" s="1584">
        <f>VLOOKUP(E121,Table5[#All],4,FALSE)</f>
        <v>44.01</v>
      </c>
      <c r="AA137" s="1624" t="e">
        <f>$Z$121</f>
        <v>#N/A</v>
      </c>
      <c r="AB137" s="1584">
        <f>VLOOKUP(AF137,Table14[#All],2,FALSE)</f>
        <v>1</v>
      </c>
      <c r="AC137" s="1584" cm="1">
        <f t="array" ref="AC137">Table7[Value]</f>
        <v>23.684999999999999</v>
      </c>
      <c r="AD137" s="1584">
        <f>VLOOKUP($E$119,Table12[#All],2,FALSE)</f>
        <v>0</v>
      </c>
      <c r="AE137" s="1584"/>
      <c r="AF137" s="1744" t="s">
        <v>548</v>
      </c>
      <c r="AG137" s="1585"/>
      <c r="AH137" s="1623"/>
      <c r="AI137" s="1584"/>
      <c r="AJ137" s="1584"/>
      <c r="AK137" s="1584"/>
      <c r="AL137" s="1584"/>
      <c r="AM137" s="1585"/>
    </row>
    <row r="138" spans="1:39" ht="15.65" customHeight="1" x14ac:dyDescent="0.25">
      <c r="A138" s="1341"/>
      <c r="B138" s="1095"/>
      <c r="C138" s="1113" t="s">
        <v>549</v>
      </c>
      <c r="D138" s="1096"/>
      <c r="E138" s="493"/>
      <c r="F138" s="1098"/>
      <c r="G138" s="1258"/>
      <c r="H138" s="1098"/>
      <c r="I138" s="1098"/>
      <c r="J138" s="1096"/>
      <c r="K138" s="1096"/>
      <c r="L138" s="1096"/>
      <c r="M138" s="1096"/>
      <c r="N138" s="1130"/>
      <c r="O138" s="1131" t="e">
        <f>IF(gasification_hydrogenProductionQuantity="",0,IFERROR(AB138*AA138*Y138*Z138/AC138,'Hidden Lists and Summaries'!$C$158))</f>
        <v>#N/A</v>
      </c>
      <c r="P138" s="1132" t="s">
        <v>90</v>
      </c>
      <c r="Q138" s="1099"/>
      <c r="Y138" s="1685">
        <f>IF(E138&lt;&gt;"",E138,VLOOKUP($E$121,Table5[#All],5,FALSE))</f>
        <v>8.6473472519867404E-7</v>
      </c>
      <c r="Z138" s="1584">
        <f>VLOOKUP($E$121,Table5[#All],6,FALSE)</f>
        <v>16.042999999999999</v>
      </c>
      <c r="AA138" s="1624" t="e">
        <f>$Z$121</f>
        <v>#N/A</v>
      </c>
      <c r="AB138" s="1584">
        <f>VLOOKUP(AF138,Table14[#All],2,FALSE)</f>
        <v>28</v>
      </c>
      <c r="AC138" s="1584" cm="1">
        <f t="array" ref="AC138">Table7[Value]</f>
        <v>23.684999999999999</v>
      </c>
      <c r="AD138" s="1584">
        <f>VLOOKUP($E$119,Table12[#All],2,FALSE)</f>
        <v>0</v>
      </c>
      <c r="AE138" s="1584"/>
      <c r="AF138" s="1744" t="s">
        <v>550</v>
      </c>
      <c r="AG138" s="1585"/>
      <c r="AH138" s="1623"/>
      <c r="AI138" s="1584"/>
      <c r="AJ138" s="1584"/>
      <c r="AK138" s="1584"/>
      <c r="AL138" s="1584"/>
      <c r="AM138" s="1585"/>
    </row>
    <row r="139" spans="1:39" ht="15.65" customHeight="1" x14ac:dyDescent="0.25">
      <c r="A139" s="1341"/>
      <c r="B139" s="1095"/>
      <c r="C139" s="1113" t="s">
        <v>551</v>
      </c>
      <c r="D139" s="1096"/>
      <c r="E139" s="495"/>
      <c r="F139" s="1098"/>
      <c r="G139" s="1258"/>
      <c r="H139" s="1098"/>
      <c r="I139" s="1098"/>
      <c r="J139" s="1096"/>
      <c r="K139" s="1096"/>
      <c r="L139" s="1096"/>
      <c r="M139" s="1096"/>
      <c r="N139" s="1130"/>
      <c r="O139" s="1131" t="e">
        <f>IF(gasification_hydrogenProductionQuantity="",0,IFERROR(AB139*AA139*Y139*Z139/AC139,'Hidden Lists and Summaries'!$C$158))</f>
        <v>#N/A</v>
      </c>
      <c r="P139" s="1132" t="s">
        <v>90</v>
      </c>
      <c r="Q139" s="1099"/>
      <c r="Y139" s="1685">
        <f>IF(E139&lt;&gt;"",E139,VLOOKUP($E$121,Table5[#All],7,FALSE))</f>
        <v>0</v>
      </c>
      <c r="Z139" s="1584">
        <f>VLOOKUP($E$121,Table5[#All],8,FALSE)</f>
        <v>44.012500000000003</v>
      </c>
      <c r="AA139" s="1624" t="e">
        <f>$Z$121</f>
        <v>#N/A</v>
      </c>
      <c r="AB139" s="1584">
        <f>VLOOKUP(AF139,Table14[#All],2,FALSE)</f>
        <v>265</v>
      </c>
      <c r="AC139" s="1584" cm="1">
        <f t="array" ref="AC139">Table7[Value]</f>
        <v>23.684999999999999</v>
      </c>
      <c r="AD139" s="1584">
        <f>VLOOKUP($E$119,Table12[#All],2,FALSE)</f>
        <v>0</v>
      </c>
      <c r="AE139" s="1584"/>
      <c r="AF139" s="1744" t="s">
        <v>552</v>
      </c>
      <c r="AG139" s="1585"/>
      <c r="AH139" s="1623"/>
      <c r="AI139" s="1584"/>
      <c r="AJ139" s="1584"/>
      <c r="AK139" s="1584"/>
      <c r="AL139" s="1584"/>
      <c r="AM139" s="1585"/>
    </row>
    <row r="140" spans="1:39" ht="15.65" customHeight="1" x14ac:dyDescent="0.25">
      <c r="A140" s="1341"/>
      <c r="B140" s="1095"/>
      <c r="C140" s="1259" t="s">
        <v>599</v>
      </c>
      <c r="D140" s="1096"/>
      <c r="E140" s="1101"/>
      <c r="F140" s="1098"/>
      <c r="G140" s="1258"/>
      <c r="H140" s="1098"/>
      <c r="I140" s="1098"/>
      <c r="J140" s="1096"/>
      <c r="K140" s="1096"/>
      <c r="L140" s="1096"/>
      <c r="M140" s="1096"/>
      <c r="N140" s="1130"/>
      <c r="O140" s="1131" t="e">
        <f>IF(gasification_hydrogenProductionQuantity="",0,IFERROR(AD140*AE140,'Hidden Lists and Summaries'!$C$158))</f>
        <v>#N/A</v>
      </c>
      <c r="P140" s="1132" t="s">
        <v>90</v>
      </c>
      <c r="Q140" s="1099"/>
      <c r="Y140" s="1770"/>
      <c r="Z140" s="1610"/>
      <c r="AA140" s="1688"/>
      <c r="AB140" s="1610"/>
      <c r="AC140" s="1610"/>
      <c r="AD140" s="1610">
        <f>IF(J121&lt;&gt;"",J121,VLOOKUP($E$121,Table12[#All],2,FALSE))</f>
        <v>0.61921558066350957</v>
      </c>
      <c r="AE140" s="1610" t="e">
        <f>AA121</f>
        <v>#N/A</v>
      </c>
      <c r="AF140" s="1655"/>
      <c r="AG140" s="1585"/>
      <c r="AH140" s="1623"/>
      <c r="AI140" s="1584"/>
      <c r="AJ140" s="1584"/>
      <c r="AK140" s="1584"/>
      <c r="AL140" s="1584"/>
      <c r="AM140" s="1585"/>
    </row>
    <row r="141" spans="1:39" ht="15.65" customHeight="1" x14ac:dyDescent="0.25">
      <c r="A141" s="1341"/>
      <c r="B141" s="1105"/>
      <c r="C141" s="1106"/>
      <c r="D141" s="1106"/>
      <c r="E141" s="1106"/>
      <c r="F141" s="1106"/>
      <c r="G141" s="1106"/>
      <c r="H141" s="1115"/>
      <c r="I141" s="1115"/>
      <c r="J141" s="1106"/>
      <c r="K141" s="1106"/>
      <c r="L141" s="1106"/>
      <c r="M141" s="1106"/>
      <c r="N141" s="1144" t="s">
        <v>120</v>
      </c>
      <c r="O141" s="1145" t="e">
        <f>SUM(O129:O140)</f>
        <v>#N/A</v>
      </c>
      <c r="P141" s="1146" t="s">
        <v>90</v>
      </c>
      <c r="Q141" s="1107"/>
      <c r="Y141" s="1623"/>
      <c r="Z141" s="1584"/>
      <c r="AA141" s="1584"/>
      <c r="AB141" s="1584"/>
      <c r="AC141" s="1584"/>
      <c r="AD141" s="1584"/>
      <c r="AE141" s="1584"/>
      <c r="AF141" s="1584"/>
      <c r="AG141" s="1585"/>
      <c r="AH141" s="1623"/>
      <c r="AI141" s="1584" t="e">
        <f>O141</f>
        <v>#N/A</v>
      </c>
      <c r="AJ141" s="1584"/>
      <c r="AK141" s="1584" t="str">
        <f>'Hidden Lists and Summaries'!$B$11</f>
        <v>Fugitive</v>
      </c>
      <c r="AL141" s="1584"/>
      <c r="AM141" s="1585"/>
    </row>
    <row r="142" spans="1:39" ht="15.65" customHeight="1" x14ac:dyDescent="0.25">
      <c r="B142" s="1118"/>
      <c r="C142" s="1118"/>
      <c r="D142" s="1118"/>
      <c r="E142" s="1118"/>
      <c r="F142" s="1118"/>
      <c r="G142" s="1118"/>
      <c r="H142" s="1118"/>
      <c r="I142" s="1118"/>
      <c r="J142" s="1118"/>
      <c r="K142" s="1118"/>
      <c r="L142" s="1118"/>
      <c r="M142" s="1118"/>
      <c r="N142" s="1118"/>
      <c r="O142" s="1118"/>
      <c r="P142" s="1118"/>
      <c r="Q142" s="1118"/>
      <c r="Y142" s="1623"/>
      <c r="Z142" s="1584"/>
      <c r="AA142" s="1584"/>
      <c r="AB142" s="1584"/>
      <c r="AC142" s="1584"/>
      <c r="AD142" s="1584"/>
      <c r="AE142" s="1584"/>
      <c r="AF142" s="1584"/>
      <c r="AG142" s="1585"/>
      <c r="AH142" s="1623"/>
      <c r="AI142" s="1584"/>
      <c r="AJ142" s="1584"/>
      <c r="AK142" s="1584"/>
      <c r="AL142" s="1584"/>
      <c r="AM142" s="1585"/>
    </row>
    <row r="143" spans="1:39" ht="15.65" customHeight="1" x14ac:dyDescent="0.25">
      <c r="B143" s="1081"/>
      <c r="C143" s="1082"/>
      <c r="D143" s="1082"/>
      <c r="E143" s="1082"/>
      <c r="F143" s="1082"/>
      <c r="G143" s="1082"/>
      <c r="H143" s="1082"/>
      <c r="I143" s="1082"/>
      <c r="J143" s="1082"/>
      <c r="K143" s="1082"/>
      <c r="L143" s="1082"/>
      <c r="M143" s="1082"/>
      <c r="N143" s="1082"/>
      <c r="O143" s="1082"/>
      <c r="P143" s="1082"/>
      <c r="Q143" s="1083"/>
      <c r="Y143" s="1623"/>
      <c r="Z143" s="1584"/>
      <c r="AA143" s="1584"/>
      <c r="AB143" s="1584"/>
      <c r="AC143" s="1584"/>
      <c r="AD143" s="1584"/>
      <c r="AE143" s="1584"/>
      <c r="AF143" s="1584"/>
      <c r="AG143" s="1585"/>
      <c r="AH143" s="1623"/>
      <c r="AI143" s="1584"/>
      <c r="AJ143" s="1584"/>
      <c r="AK143" s="1584"/>
      <c r="AL143" s="1584"/>
      <c r="AM143" s="1585"/>
    </row>
    <row r="144" spans="1:39" ht="15.65" customHeight="1" x14ac:dyDescent="0.25">
      <c r="B144" s="1084"/>
      <c r="C144" s="1109" t="s">
        <v>554</v>
      </c>
      <c r="D144" s="1086"/>
      <c r="E144" s="1086"/>
      <c r="F144" s="1086"/>
      <c r="G144" s="1086"/>
      <c r="H144" s="1086"/>
      <c r="I144" s="1086"/>
      <c r="J144" s="1086"/>
      <c r="K144" s="1086"/>
      <c r="L144" s="1086"/>
      <c r="M144" s="1086"/>
      <c r="N144" s="1086"/>
      <c r="O144" s="1086"/>
      <c r="P144" s="1086"/>
      <c r="Q144" s="1087"/>
      <c r="Y144" s="1725" t="s">
        <v>600</v>
      </c>
      <c r="Z144" s="1584"/>
      <c r="AA144" s="1584"/>
      <c r="AB144" s="1584"/>
      <c r="AC144" s="1584"/>
      <c r="AD144" s="1584"/>
      <c r="AE144" s="1584"/>
      <c r="AF144" s="1584"/>
      <c r="AG144" s="1585"/>
      <c r="AH144" s="1623"/>
      <c r="AI144" s="1584"/>
      <c r="AJ144" s="1584"/>
      <c r="AK144" s="1584"/>
      <c r="AL144" s="1584"/>
      <c r="AM144" s="1585"/>
    </row>
    <row r="145" spans="2:39" ht="15.65" customHeight="1" x14ac:dyDescent="0.25">
      <c r="B145" s="1089"/>
      <c r="C145" s="1090"/>
      <c r="D145" s="1090"/>
      <c r="E145" s="1091" t="s">
        <v>555</v>
      </c>
      <c r="F145" s="1091" t="s">
        <v>81</v>
      </c>
      <c r="G145" s="1093"/>
      <c r="H145" s="1111"/>
      <c r="I145" s="1111"/>
      <c r="J145" s="1093"/>
      <c r="K145" s="1093"/>
      <c r="L145" s="1093"/>
      <c r="M145" s="1093"/>
      <c r="N145" s="1093"/>
      <c r="O145" s="1091" t="s">
        <v>556</v>
      </c>
      <c r="P145" s="1093"/>
      <c r="Q145" s="1112"/>
      <c r="Y145" s="1809"/>
      <c r="Z145" s="1584"/>
      <c r="AA145" s="1584"/>
      <c r="AB145" s="1584"/>
      <c r="AC145" s="1584"/>
      <c r="AD145" s="1584"/>
      <c r="AE145" s="1584"/>
      <c r="AF145" s="1584"/>
      <c r="AG145" s="1585"/>
      <c r="AH145" s="1623"/>
      <c r="AI145" s="1584"/>
      <c r="AJ145" s="1584"/>
      <c r="AK145" s="1584"/>
      <c r="AL145" s="1584"/>
      <c r="AM145" s="1585"/>
    </row>
    <row r="146" spans="2:39" ht="15.65" customHeight="1" x14ac:dyDescent="0.25">
      <c r="B146" s="1095"/>
      <c r="C146" s="1096"/>
      <c r="D146" s="1096"/>
      <c r="E146" s="1096"/>
      <c r="F146" s="1096"/>
      <c r="G146" s="1096"/>
      <c r="H146" s="1098"/>
      <c r="I146" s="1098"/>
      <c r="J146" s="1096"/>
      <c r="K146" s="1096"/>
      <c r="L146" s="1096"/>
      <c r="M146" s="1096"/>
      <c r="N146" s="1096"/>
      <c r="O146" s="1096"/>
      <c r="P146" s="1096"/>
      <c r="Q146" s="1099"/>
      <c r="Y146" s="1810" t="s">
        <v>128</v>
      </c>
      <c r="Z146" s="1584"/>
      <c r="AA146" s="1584"/>
      <c r="AB146" s="1584"/>
      <c r="AC146" s="1584"/>
      <c r="AD146" s="1584"/>
      <c r="AE146" s="1584"/>
      <c r="AF146" s="1584"/>
      <c r="AG146" s="1585"/>
      <c r="AH146" s="1623"/>
      <c r="AI146" s="1584"/>
      <c r="AJ146" s="1584"/>
      <c r="AK146" s="1584"/>
      <c r="AL146" s="1584"/>
      <c r="AM146" s="1585"/>
    </row>
    <row r="147" spans="2:39" ht="15.65" customHeight="1" x14ac:dyDescent="0.25">
      <c r="B147" s="1095"/>
      <c r="C147" s="1096" t="s">
        <v>456</v>
      </c>
      <c r="D147" s="1096"/>
      <c r="E147" s="433"/>
      <c r="F147" s="1260" t="s">
        <v>183</v>
      </c>
      <c r="G147" s="1096"/>
      <c r="H147" s="1098"/>
      <c r="I147" s="1098"/>
      <c r="J147" s="1096"/>
      <c r="K147" s="1096"/>
      <c r="L147" s="1096"/>
      <c r="M147" s="1096"/>
      <c r="N147" s="1106"/>
      <c r="O147" s="1096"/>
      <c r="P147" s="1096"/>
      <c r="Q147" s="1099"/>
      <c r="Y147" s="1771">
        <f>VLOOKUP(F147,massConv[#All], 3, FALSE)*E147</f>
        <v>0</v>
      </c>
      <c r="Z147" s="1584"/>
      <c r="AA147" s="1584"/>
      <c r="AB147" s="1584"/>
      <c r="AC147" s="1584"/>
      <c r="AD147" s="1584"/>
      <c r="AE147" s="1584"/>
      <c r="AF147" s="1584"/>
      <c r="AG147" s="1585"/>
      <c r="AH147" s="1623"/>
      <c r="AI147" s="1584"/>
      <c r="AJ147" s="1584"/>
      <c r="AK147" s="1584"/>
      <c r="AL147" s="1584"/>
      <c r="AM147" s="1585"/>
    </row>
    <row r="148" spans="2:39" ht="15.65" customHeight="1" x14ac:dyDescent="0.25">
      <c r="B148" s="1095"/>
      <c r="C148" s="1096" t="s">
        <v>601</v>
      </c>
      <c r="D148" s="1096"/>
      <c r="E148" s="448"/>
      <c r="F148" s="1262" t="s">
        <v>183</v>
      </c>
      <c r="G148" s="1096"/>
      <c r="H148" s="1098"/>
      <c r="I148" s="1098"/>
      <c r="J148" s="1096"/>
      <c r="K148" s="1096"/>
      <c r="L148" s="1096"/>
      <c r="M148" s="1096"/>
      <c r="N148" s="1182" t="s">
        <v>602</v>
      </c>
      <c r="O148" s="1183">
        <f>-Y148</f>
        <v>0</v>
      </c>
      <c r="P148" s="1183" t="s">
        <v>90</v>
      </c>
      <c r="Q148" s="1277"/>
      <c r="Y148" s="1772">
        <f>IF(OR(Y147="",Y147=0),0,VLOOKUP(F148,massConv[#All], 3, FALSE)*E148)</f>
        <v>0</v>
      </c>
      <c r="Z148" s="1584"/>
      <c r="AA148" s="1584"/>
      <c r="AB148" s="1584"/>
      <c r="AC148" s="1584"/>
      <c r="AD148" s="1584"/>
      <c r="AE148" s="1584"/>
      <c r="AF148" s="1584"/>
      <c r="AG148" s="1585"/>
      <c r="AH148" s="1623"/>
      <c r="AI148" s="1584"/>
      <c r="AJ148" s="1584"/>
      <c r="AK148" s="1584"/>
      <c r="AL148" s="1584"/>
      <c r="AM148" s="1585"/>
    </row>
    <row r="149" spans="2:39" ht="15.65" customHeight="1" x14ac:dyDescent="0.25">
      <c r="B149" s="1095"/>
      <c r="C149" s="1113" t="s">
        <v>560</v>
      </c>
      <c r="D149" s="1096"/>
      <c r="E149" s="384"/>
      <c r="F149" s="1264" t="s">
        <v>183</v>
      </c>
      <c r="G149" s="1096"/>
      <c r="H149" s="1098"/>
      <c r="I149" s="1098"/>
      <c r="J149" s="1096"/>
      <c r="K149" s="1096"/>
      <c r="L149" s="1096"/>
      <c r="M149" s="1096"/>
      <c r="N149" s="1130" t="s">
        <v>382</v>
      </c>
      <c r="O149" s="1131">
        <f>-Y149</f>
        <v>0</v>
      </c>
      <c r="P149" s="1132" t="s">
        <v>90</v>
      </c>
      <c r="Q149" s="1099"/>
      <c r="Y149" s="1773">
        <f>IF(OR(Y147="",Y147=0),0,VLOOKUP(F149,massConv[#All], 3, FALSE)*E149)</f>
        <v>0</v>
      </c>
      <c r="Z149" s="1584"/>
      <c r="AA149" s="1584"/>
      <c r="AB149" s="1584"/>
      <c r="AC149" s="1584"/>
      <c r="AD149" s="1584"/>
      <c r="AE149" s="1584"/>
      <c r="AF149" s="1584"/>
      <c r="AG149" s="1585"/>
      <c r="AH149" s="1623"/>
      <c r="AI149" s="1584"/>
      <c r="AJ149" s="1584"/>
      <c r="AK149" s="1584"/>
      <c r="AL149" s="1584"/>
      <c r="AM149" s="1585"/>
    </row>
    <row r="150" spans="2:39" ht="15.65" customHeight="1" x14ac:dyDescent="0.25">
      <c r="B150" s="1095"/>
      <c r="C150" s="1113" t="s">
        <v>561</v>
      </c>
      <c r="D150" s="1096"/>
      <c r="E150" s="428"/>
      <c r="F150" s="1357" t="s">
        <v>183</v>
      </c>
      <c r="G150" s="1096"/>
      <c r="H150" s="1098"/>
      <c r="I150" s="1098"/>
      <c r="J150" s="1096"/>
      <c r="K150" s="1096"/>
      <c r="L150" s="1096"/>
      <c r="M150" s="1096"/>
      <c r="N150" s="1130" t="s">
        <v>562</v>
      </c>
      <c r="O150" s="1131">
        <f>Y150</f>
        <v>0</v>
      </c>
      <c r="P150" s="1132" t="s">
        <v>90</v>
      </c>
      <c r="Q150" s="1099"/>
      <c r="Y150" s="1772">
        <f>IF(OR(Y147="",Y147=0),0,VLOOKUP(F150,massConv[#All], 3, FALSE)*E150)</f>
        <v>0</v>
      </c>
      <c r="Z150" s="1584"/>
      <c r="AA150" s="1584"/>
      <c r="AB150" s="1584"/>
      <c r="AC150" s="1584"/>
      <c r="AD150" s="1584"/>
      <c r="AE150" s="1584"/>
      <c r="AF150" s="1584"/>
      <c r="AG150" s="1585"/>
      <c r="AH150" s="1623"/>
      <c r="AI150" s="1584"/>
      <c r="AJ150" s="1584"/>
      <c r="AK150" s="1584"/>
      <c r="AL150" s="1584"/>
      <c r="AM150" s="1585"/>
    </row>
    <row r="151" spans="2:39" ht="15.65" customHeight="1" x14ac:dyDescent="0.25">
      <c r="B151" s="1095"/>
      <c r="C151" s="1113" t="s">
        <v>563</v>
      </c>
      <c r="D151" s="1096"/>
      <c r="E151" s="384"/>
      <c r="F151" s="1264" t="s">
        <v>183</v>
      </c>
      <c r="G151" s="1096"/>
      <c r="H151" s="1098"/>
      <c r="I151" s="1098"/>
      <c r="J151" s="1096"/>
      <c r="K151" s="1096"/>
      <c r="L151" s="1096"/>
      <c r="M151" s="1096"/>
      <c r="N151" s="1130" t="s">
        <v>562</v>
      </c>
      <c r="O151" s="1131">
        <f>Y151</f>
        <v>0</v>
      </c>
      <c r="P151" s="1132" t="s">
        <v>90</v>
      </c>
      <c r="Q151" s="1099"/>
      <c r="Y151" s="1772">
        <f>IF(OR(Y147="",Y147=0),0,VLOOKUP(F151,massConv[#All], 3, FALSE)*E151)</f>
        <v>0</v>
      </c>
      <c r="Z151" s="1584"/>
      <c r="AA151" s="1584"/>
      <c r="AB151" s="1584"/>
      <c r="AC151" s="1584"/>
      <c r="AD151" s="1584"/>
      <c r="AE151" s="1584"/>
      <c r="AF151" s="1584"/>
      <c r="AG151" s="1585"/>
      <c r="AH151" s="1623"/>
      <c r="AI151" s="1584"/>
      <c r="AJ151" s="1584"/>
      <c r="AK151" s="1584"/>
      <c r="AL151" s="1584"/>
      <c r="AM151" s="1585"/>
    </row>
    <row r="152" spans="2:39" ht="15.65" customHeight="1" x14ac:dyDescent="0.25">
      <c r="B152" s="1095"/>
      <c r="C152" s="1113" t="s">
        <v>564</v>
      </c>
      <c r="D152" s="1096"/>
      <c r="E152" s="390"/>
      <c r="F152" s="1265" t="s">
        <v>183</v>
      </c>
      <c r="G152" s="1096"/>
      <c r="H152" s="1098"/>
      <c r="I152" s="1098"/>
      <c r="J152" s="1096"/>
      <c r="K152" s="1096"/>
      <c r="L152" s="1096"/>
      <c r="M152" s="1096"/>
      <c r="N152" s="1130" t="s">
        <v>565</v>
      </c>
      <c r="O152" s="1131">
        <f>Y152</f>
        <v>0</v>
      </c>
      <c r="P152" s="1132" t="s">
        <v>90</v>
      </c>
      <c r="Q152" s="1099"/>
      <c r="Y152" s="1772">
        <f>IF(OR(Y147="",Y147=0),0,VLOOKUP(F152,massConv[#All], 3, FALSE)*E152)</f>
        <v>0</v>
      </c>
      <c r="Z152" s="1584"/>
      <c r="AA152" s="1584"/>
      <c r="AB152" s="1584"/>
      <c r="AC152" s="1584"/>
      <c r="AD152" s="1584"/>
      <c r="AE152" s="1584"/>
      <c r="AF152" s="1584"/>
      <c r="AG152" s="1585"/>
      <c r="AH152" s="1623"/>
      <c r="AI152" s="1584"/>
      <c r="AJ152" s="1584"/>
      <c r="AK152" s="1584"/>
      <c r="AL152" s="1584"/>
      <c r="AM152" s="1585"/>
    </row>
    <row r="153" spans="2:39" ht="15.65" customHeight="1" x14ac:dyDescent="0.25">
      <c r="B153" s="1105"/>
      <c r="C153" s="1106"/>
      <c r="D153" s="1106"/>
      <c r="E153" s="1106"/>
      <c r="F153" s="1106"/>
      <c r="G153" s="1106"/>
      <c r="H153" s="1115"/>
      <c r="I153" s="1115"/>
      <c r="J153" s="1106"/>
      <c r="K153" s="1106"/>
      <c r="L153" s="1106"/>
      <c r="M153" s="1106"/>
      <c r="N153" s="1144" t="s">
        <v>120</v>
      </c>
      <c r="O153" s="1145">
        <f>SUM(O150:O152)</f>
        <v>0</v>
      </c>
      <c r="P153" s="1146" t="s">
        <v>90</v>
      </c>
      <c r="Q153" s="1107"/>
      <c r="Y153" s="1623"/>
      <c r="Z153" s="1584"/>
      <c r="AA153" s="1584"/>
      <c r="AB153" s="1584"/>
      <c r="AC153" s="1584"/>
      <c r="AD153" s="1584"/>
      <c r="AE153" s="1584"/>
      <c r="AF153" s="1584"/>
      <c r="AG153" s="1585"/>
      <c r="AH153" s="1623"/>
      <c r="AI153" s="1584"/>
      <c r="AJ153" s="1584"/>
      <c r="AK153" s="1584"/>
      <c r="AL153" s="1584"/>
      <c r="AM153" s="1585"/>
    </row>
    <row r="154" spans="2:39" s="1164" customFormat="1" ht="15.65" customHeight="1" x14ac:dyDescent="0.25">
      <c r="B154" s="1108"/>
      <c r="C154" s="1108"/>
      <c r="D154" s="1108"/>
      <c r="E154" s="1267"/>
      <c r="F154" s="1267"/>
      <c r="G154" s="1108"/>
      <c r="H154" s="1268"/>
      <c r="I154" s="1102"/>
      <c r="J154" s="1108"/>
      <c r="K154" s="1267"/>
      <c r="L154" s="1108"/>
      <c r="M154" s="1108"/>
      <c r="N154" s="1163"/>
      <c r="O154" s="1108"/>
      <c r="P154" s="1108"/>
      <c r="Q154" s="1108"/>
      <c r="Y154" s="1743"/>
      <c r="Z154" s="1583"/>
      <c r="AA154" s="1583"/>
      <c r="AB154" s="1583"/>
      <c r="AC154" s="1583"/>
      <c r="AD154" s="1583"/>
      <c r="AE154" s="1583"/>
      <c r="AF154" s="1583"/>
      <c r="AG154" s="1744"/>
      <c r="AH154" s="1743"/>
      <c r="AI154" s="1583"/>
      <c r="AJ154" s="1583"/>
      <c r="AK154" s="1583"/>
      <c r="AL154" s="1583"/>
      <c r="AM154" s="1744"/>
    </row>
    <row r="155" spans="2:39" s="1164" customFormat="1" ht="15.65" customHeight="1" x14ac:dyDescent="0.25">
      <c r="B155" s="1207"/>
      <c r="C155" s="1208"/>
      <c r="D155" s="1208"/>
      <c r="E155" s="1208"/>
      <c r="F155" s="1208"/>
      <c r="G155" s="1208"/>
      <c r="H155" s="1269"/>
      <c r="I155" s="1269"/>
      <c r="J155" s="1208"/>
      <c r="K155" s="1208"/>
      <c r="L155" s="1208"/>
      <c r="M155" s="1208"/>
      <c r="N155" s="1270"/>
      <c r="O155" s="1208"/>
      <c r="P155" s="1208"/>
      <c r="Q155" s="1209"/>
      <c r="Y155" s="1743"/>
      <c r="Z155" s="1583"/>
      <c r="AA155" s="1583"/>
      <c r="AB155" s="1583"/>
      <c r="AC155" s="1583"/>
      <c r="AD155" s="1583"/>
      <c r="AE155" s="1583"/>
      <c r="AF155" s="1583"/>
      <c r="AG155" s="1744"/>
      <c r="AH155" s="1743"/>
      <c r="AI155" s="1583"/>
      <c r="AJ155" s="1583"/>
      <c r="AK155" s="1583"/>
      <c r="AL155" s="1583"/>
      <c r="AM155" s="1744"/>
    </row>
    <row r="156" spans="2:39" s="1164" customFormat="1" ht="15.65" customHeight="1" x14ac:dyDescent="0.25">
      <c r="B156" s="1210"/>
      <c r="C156" s="1211" t="s">
        <v>312</v>
      </c>
      <c r="D156" s="1212"/>
      <c r="E156" s="1212"/>
      <c r="F156" s="1212"/>
      <c r="G156" s="1212"/>
      <c r="H156" s="1252"/>
      <c r="I156" s="1252"/>
      <c r="J156" s="1212"/>
      <c r="K156" s="1212"/>
      <c r="L156" s="1212"/>
      <c r="M156" s="1212"/>
      <c r="N156" s="1271"/>
      <c r="O156" s="1212"/>
      <c r="P156" s="1212"/>
      <c r="Q156" s="1213"/>
      <c r="Y156" s="1725" t="s">
        <v>600</v>
      </c>
      <c r="Z156" s="1583"/>
      <c r="AA156" s="1583"/>
      <c r="AB156" s="1583"/>
      <c r="AC156" s="1583"/>
      <c r="AD156" s="1583"/>
      <c r="AE156" s="1583"/>
      <c r="AF156" s="1583"/>
      <c r="AG156" s="1744"/>
      <c r="AH156" s="1743"/>
      <c r="AI156" s="1583"/>
      <c r="AJ156" s="1583"/>
      <c r="AK156" s="1583"/>
      <c r="AL156" s="1583"/>
      <c r="AM156" s="1744"/>
    </row>
    <row r="157" spans="2:39" s="1164" customFormat="1" ht="15.65" customHeight="1" x14ac:dyDescent="0.25">
      <c r="B157" s="1214"/>
      <c r="C157" s="1215"/>
      <c r="D157" s="1215"/>
      <c r="E157" s="1111" t="s">
        <v>313</v>
      </c>
      <c r="F157" s="1091" t="s">
        <v>314</v>
      </c>
      <c r="G157" s="1091" t="s">
        <v>315</v>
      </c>
      <c r="H157" s="1091" t="s">
        <v>316</v>
      </c>
      <c r="I157" s="1092"/>
      <c r="J157" s="1215"/>
      <c r="K157" s="1215"/>
      <c r="L157" s="1215"/>
      <c r="M157" s="1215"/>
      <c r="N157" s="1272"/>
      <c r="O157" s="1091" t="s">
        <v>82</v>
      </c>
      <c r="P157" s="1215"/>
      <c r="Q157" s="1216"/>
      <c r="Y157" s="1803" t="s">
        <v>128</v>
      </c>
      <c r="Z157" s="1583"/>
      <c r="AA157" s="1583"/>
      <c r="AB157" s="1583"/>
      <c r="AC157" s="1583"/>
      <c r="AD157" s="1583"/>
      <c r="AE157" s="1583"/>
      <c r="AF157" s="1583"/>
      <c r="AG157" s="1744"/>
      <c r="AH157" s="1743"/>
      <c r="AI157" s="1583"/>
      <c r="AJ157" s="1583"/>
      <c r="AK157" s="1583"/>
      <c r="AL157" s="1583"/>
      <c r="AM157" s="1744"/>
    </row>
    <row r="158" spans="2:39" s="1164" customFormat="1" ht="15.65" customHeight="1" x14ac:dyDescent="0.25">
      <c r="B158" s="1192"/>
      <c r="C158" s="1193"/>
      <c r="D158" s="1193"/>
      <c r="E158" s="1193"/>
      <c r="F158" s="1193"/>
      <c r="G158" s="1193"/>
      <c r="H158" s="1193"/>
      <c r="I158" s="1194"/>
      <c r="J158" s="1193"/>
      <c r="K158" s="1193"/>
      <c r="L158" s="1193"/>
      <c r="M158" s="1193"/>
      <c r="N158" s="1273"/>
      <c r="O158" s="1193"/>
      <c r="P158" s="1097"/>
      <c r="Q158" s="1195"/>
      <c r="Y158" s="1775"/>
      <c r="Z158" s="1583"/>
      <c r="AA158" s="1583"/>
      <c r="AB158" s="1583"/>
      <c r="AC158" s="1583"/>
      <c r="AD158" s="1583"/>
      <c r="AE158" s="1583"/>
      <c r="AF158" s="1583"/>
      <c r="AG158" s="1744"/>
      <c r="AH158" s="1743"/>
      <c r="AI158" s="1583"/>
      <c r="AJ158" s="1583"/>
      <c r="AK158" s="1583"/>
      <c r="AL158" s="1583"/>
      <c r="AM158" s="1744"/>
    </row>
    <row r="159" spans="2:39" s="1164" customFormat="1" ht="15.65" customHeight="1" x14ac:dyDescent="0.25">
      <c r="B159" s="1095"/>
      <c r="C159" s="1101" t="s">
        <v>317</v>
      </c>
      <c r="D159" s="1101"/>
      <c r="E159" s="434"/>
      <c r="F159" s="362"/>
      <c r="G159" s="362"/>
      <c r="H159" s="402"/>
      <c r="I159" s="1275"/>
      <c r="J159" s="1101"/>
      <c r="K159" s="1101"/>
      <c r="L159" s="1101"/>
      <c r="M159" s="1099"/>
      <c r="N159" s="1276" t="str">
        <f>IF(F159="","",F159)</f>
        <v/>
      </c>
      <c r="O159" s="1183">
        <f>IF(F159="",0,IFERROR(Y159,'Hidden Lists and Summaries'!$C$158))</f>
        <v>0</v>
      </c>
      <c r="P159" s="1131" t="s">
        <v>90</v>
      </c>
      <c r="Q159" s="1277"/>
      <c r="Y159" s="1745" t="e">
        <f>G159*VLOOKUP(H159,massConv[#All],3,FALSE)</f>
        <v>#N/A</v>
      </c>
      <c r="Z159" s="1583"/>
      <c r="AA159" s="1583"/>
      <c r="AB159" s="1583"/>
      <c r="AC159" s="1583"/>
      <c r="AD159" s="1583"/>
      <c r="AE159" s="1583"/>
      <c r="AF159" s="1583"/>
      <c r="AG159" s="1744"/>
      <c r="AH159" s="1743"/>
      <c r="AI159" s="1583">
        <f>O159</f>
        <v>0</v>
      </c>
      <c r="AJ159" s="1583"/>
      <c r="AK159" s="1583">
        <f>F159</f>
        <v>0</v>
      </c>
      <c r="AL159" s="1583"/>
      <c r="AM159" s="1744" t="str">
        <f>IF(AI159='Hidden Lists and Summaries'!$B$5,"Other","")</f>
        <v/>
      </c>
    </row>
    <row r="160" spans="2:39" s="1164" customFormat="1" ht="15.65" customHeight="1" x14ac:dyDescent="0.25">
      <c r="B160" s="1095"/>
      <c r="C160" s="1101" t="s">
        <v>318</v>
      </c>
      <c r="D160" s="1101"/>
      <c r="E160" s="435"/>
      <c r="F160" s="366"/>
      <c r="G160" s="404"/>
      <c r="H160" s="405"/>
      <c r="I160" s="1275"/>
      <c r="J160" s="1101"/>
      <c r="K160" s="1101"/>
      <c r="L160" s="1101"/>
      <c r="M160" s="1101"/>
      <c r="N160" s="1278" t="str">
        <f t="shared" ref="N160:N162" si="3">IF(F160="","",F160)</f>
        <v/>
      </c>
      <c r="O160" s="1131">
        <f>IF(F160="",0,IFERROR(Y160,'Hidden Lists and Summaries'!$C$158))</f>
        <v>0</v>
      </c>
      <c r="P160" s="1131" t="s">
        <v>90</v>
      </c>
      <c r="Q160" s="1277"/>
      <c r="Y160" s="1745" t="e">
        <f>G160*VLOOKUP(H160,massConv[#All],3,FALSE)</f>
        <v>#N/A</v>
      </c>
      <c r="Z160" s="1583"/>
      <c r="AA160" s="1583"/>
      <c r="AB160" s="1583"/>
      <c r="AC160" s="1583"/>
      <c r="AD160" s="1583"/>
      <c r="AE160" s="1583"/>
      <c r="AF160" s="1583"/>
      <c r="AG160" s="1744"/>
      <c r="AH160" s="1743"/>
      <c r="AI160" s="1583">
        <f>O160</f>
        <v>0</v>
      </c>
      <c r="AJ160" s="1583"/>
      <c r="AK160" s="1583">
        <f>F160</f>
        <v>0</v>
      </c>
      <c r="AL160" s="1583"/>
      <c r="AM160" s="1744" t="str">
        <f>IF(AI160='Hidden Lists and Summaries'!$B$5,"Other","")</f>
        <v/>
      </c>
    </row>
    <row r="161" spans="2:39" s="1164" customFormat="1" ht="15.65" customHeight="1" x14ac:dyDescent="0.25">
      <c r="B161" s="1095"/>
      <c r="C161" s="1101" t="s">
        <v>319</v>
      </c>
      <c r="D161" s="1101"/>
      <c r="E161" s="435"/>
      <c r="F161" s="366"/>
      <c r="G161" s="366"/>
      <c r="H161" s="406"/>
      <c r="I161" s="1275"/>
      <c r="J161" s="1101"/>
      <c r="K161" s="1101"/>
      <c r="L161" s="1101"/>
      <c r="M161" s="1099"/>
      <c r="N161" s="1279" t="str">
        <f t="shared" si="3"/>
        <v/>
      </c>
      <c r="O161" s="1131">
        <f>IF(F161="",0,IFERROR(Y161,'Hidden Lists and Summaries'!$C$158))</f>
        <v>0</v>
      </c>
      <c r="P161" s="1131" t="s">
        <v>90</v>
      </c>
      <c r="Q161" s="1277"/>
      <c r="Y161" s="1745" t="e">
        <f>G161*VLOOKUP(H161,massConv[#All],3,FALSE)</f>
        <v>#N/A</v>
      </c>
      <c r="Z161" s="1583"/>
      <c r="AA161" s="1583"/>
      <c r="AB161" s="1583"/>
      <c r="AC161" s="1583"/>
      <c r="AD161" s="1583"/>
      <c r="AE161" s="1583"/>
      <c r="AF161" s="1583"/>
      <c r="AG161" s="1744"/>
      <c r="AH161" s="1743"/>
      <c r="AI161" s="1583">
        <f>O161</f>
        <v>0</v>
      </c>
      <c r="AJ161" s="1583"/>
      <c r="AK161" s="1583">
        <f>F161</f>
        <v>0</v>
      </c>
      <c r="AL161" s="1583"/>
      <c r="AM161" s="1744" t="str">
        <f>IF(AI161='Hidden Lists and Summaries'!$B$5,"Other","")</f>
        <v/>
      </c>
    </row>
    <row r="162" spans="2:39" s="1164" customFormat="1" ht="15.65" customHeight="1" x14ac:dyDescent="0.25">
      <c r="B162" s="1095"/>
      <c r="C162" s="1101" t="s">
        <v>320</v>
      </c>
      <c r="D162" s="1101"/>
      <c r="E162" s="436"/>
      <c r="F162" s="408"/>
      <c r="G162" s="371"/>
      <c r="H162" s="409"/>
      <c r="I162" s="1275"/>
      <c r="J162" s="1101"/>
      <c r="K162" s="1101"/>
      <c r="L162" s="1101"/>
      <c r="M162" s="1101"/>
      <c r="N162" s="1278" t="str">
        <f t="shared" si="3"/>
        <v/>
      </c>
      <c r="O162" s="1358">
        <f>IF(F162="",0,IFERROR(Y162,'Hidden Lists and Summaries'!$C$158))</f>
        <v>0</v>
      </c>
      <c r="P162" s="1280" t="s">
        <v>90</v>
      </c>
      <c r="Q162" s="1277"/>
      <c r="Y162" s="1776" t="e">
        <f>G162*VLOOKUP(H162,massConv[#All],3,FALSE)</f>
        <v>#N/A</v>
      </c>
      <c r="Z162" s="1583"/>
      <c r="AA162" s="1583"/>
      <c r="AB162" s="1583"/>
      <c r="AC162" s="1583"/>
      <c r="AD162" s="1583"/>
      <c r="AE162" s="1583"/>
      <c r="AF162" s="1583"/>
      <c r="AG162" s="1744"/>
      <c r="AH162" s="1777"/>
      <c r="AI162" s="1758">
        <f>O162</f>
        <v>0</v>
      </c>
      <c r="AJ162" s="1758"/>
      <c r="AK162" s="1758">
        <f>F162</f>
        <v>0</v>
      </c>
      <c r="AL162" s="1758"/>
      <c r="AM162" s="1778" t="str">
        <f>IF(AI162='Hidden Lists and Summaries'!$B$5,"Other","")</f>
        <v/>
      </c>
    </row>
    <row r="163" spans="2:39" s="1164" customFormat="1" ht="15.65" customHeight="1" x14ac:dyDescent="0.25">
      <c r="B163" s="1105"/>
      <c r="C163" s="1106"/>
      <c r="D163" s="1106"/>
      <c r="E163" s="1097"/>
      <c r="F163" s="1097"/>
      <c r="G163" s="1106"/>
      <c r="H163" s="1284"/>
      <c r="I163" s="1284"/>
      <c r="J163" s="1106"/>
      <c r="K163" s="1106"/>
      <c r="L163" s="1106"/>
      <c r="M163" s="1106"/>
      <c r="N163" s="1285" t="s">
        <v>120</v>
      </c>
      <c r="O163" s="1286">
        <f>SUM(O159:O162)</f>
        <v>0</v>
      </c>
      <c r="P163" s="1287" t="s">
        <v>90</v>
      </c>
      <c r="Q163" s="1107"/>
      <c r="Y163" s="1743"/>
      <c r="Z163" s="1583"/>
      <c r="AA163" s="1583"/>
      <c r="AB163" s="1583"/>
      <c r="AC163" s="1583"/>
      <c r="AD163" s="1583"/>
      <c r="AE163" s="1583"/>
      <c r="AF163" s="1583"/>
      <c r="AG163" s="1744"/>
      <c r="AH163" s="1774"/>
      <c r="AI163" s="1774"/>
      <c r="AJ163" s="1774"/>
      <c r="AK163" s="1774"/>
      <c r="AL163" s="1774"/>
      <c r="AM163" s="1774"/>
    </row>
    <row r="164" spans="2:39" ht="15.65" customHeight="1" x14ac:dyDescent="0.25">
      <c r="B164" s="1118"/>
      <c r="C164" s="1118"/>
      <c r="D164" s="1118"/>
      <c r="E164" s="1118"/>
      <c r="F164" s="1118"/>
      <c r="G164" s="1118"/>
      <c r="H164" s="1118"/>
      <c r="I164" s="1118"/>
      <c r="J164" s="1118"/>
      <c r="K164" s="1118"/>
      <c r="L164" s="1118"/>
      <c r="M164" s="1118"/>
      <c r="N164" s="1118"/>
      <c r="O164" s="1118"/>
      <c r="P164" s="1118"/>
      <c r="Q164" s="1118"/>
      <c r="Y164" s="1623"/>
      <c r="Z164" s="1584"/>
      <c r="AA164" s="1584"/>
      <c r="AB164" s="1584"/>
      <c r="AC164" s="1584"/>
      <c r="AD164" s="1584"/>
      <c r="AE164" s="1584"/>
      <c r="AF164" s="1584"/>
      <c r="AG164" s="1585"/>
    </row>
    <row r="165" spans="2:39" ht="15.65" customHeight="1" x14ac:dyDescent="0.25">
      <c r="B165" s="1081"/>
      <c r="C165" s="1082"/>
      <c r="D165" s="1082"/>
      <c r="E165" s="1082"/>
      <c r="F165" s="1082"/>
      <c r="G165" s="1082"/>
      <c r="H165" s="1082"/>
      <c r="I165" s="1082"/>
      <c r="J165" s="1082"/>
      <c r="K165" s="1082"/>
      <c r="L165" s="1082"/>
      <c r="M165" s="1082"/>
      <c r="N165" s="1082"/>
      <c r="O165" s="1082"/>
      <c r="P165" s="1082"/>
      <c r="Q165" s="1083"/>
      <c r="Y165" s="1623"/>
      <c r="Z165" s="1584"/>
      <c r="AA165" s="1584"/>
      <c r="AB165" s="1584"/>
      <c r="AC165" s="1584"/>
      <c r="AD165" s="1584"/>
      <c r="AE165" s="1584"/>
      <c r="AF165" s="1584"/>
      <c r="AG165" s="1585"/>
    </row>
    <row r="166" spans="2:39" ht="15.65" customHeight="1" x14ac:dyDescent="0.25">
      <c r="B166" s="1084"/>
      <c r="C166" s="1109" t="s">
        <v>1322</v>
      </c>
      <c r="D166" s="1086"/>
      <c r="E166" s="1086"/>
      <c r="F166" s="1086"/>
      <c r="G166" s="1086"/>
      <c r="H166" s="1086"/>
      <c r="I166" s="1086"/>
      <c r="J166" s="1086"/>
      <c r="K166" s="1086"/>
      <c r="L166" s="1086"/>
      <c r="M166" s="1086"/>
      <c r="N166" s="1086"/>
      <c r="O166" s="1086"/>
      <c r="P166" s="1086"/>
      <c r="Q166" s="1087"/>
      <c r="Y166" s="1738" t="s">
        <v>109</v>
      </c>
      <c r="Z166" s="1582" t="s">
        <v>603</v>
      </c>
      <c r="AA166" s="1584"/>
      <c r="AB166" s="1584"/>
      <c r="AC166" s="1584"/>
      <c r="AD166" s="1584"/>
      <c r="AE166" s="1584"/>
      <c r="AF166" s="1584"/>
      <c r="AG166" s="1585"/>
    </row>
    <row r="167" spans="2:39" ht="15.65" customHeight="1" x14ac:dyDescent="0.25">
      <c r="B167" s="1089"/>
      <c r="C167" s="1090"/>
      <c r="D167" s="1090"/>
      <c r="E167" s="1091" t="s">
        <v>322</v>
      </c>
      <c r="F167" s="1091" t="s">
        <v>81</v>
      </c>
      <c r="G167" s="1093"/>
      <c r="H167" s="1111"/>
      <c r="I167" s="1111"/>
      <c r="J167" s="1093"/>
      <c r="K167" s="1093"/>
      <c r="L167" s="1093"/>
      <c r="M167" s="1093"/>
      <c r="N167" s="1093"/>
      <c r="O167" s="1091" t="s">
        <v>323</v>
      </c>
      <c r="P167" s="1093"/>
      <c r="Q167" s="1112"/>
      <c r="Y167" s="1580"/>
      <c r="Z167" s="1582"/>
      <c r="AA167" s="1584"/>
      <c r="AB167" s="1584"/>
      <c r="AC167" s="1584"/>
      <c r="AD167" s="1584"/>
      <c r="AE167" s="1584"/>
      <c r="AF167" s="1584"/>
      <c r="AG167" s="1585"/>
    </row>
    <row r="168" spans="2:39" ht="15.65" customHeight="1" x14ac:dyDescent="0.25">
      <c r="B168" s="1095"/>
      <c r="C168" s="1096"/>
      <c r="D168" s="1096"/>
      <c r="E168" s="1097"/>
      <c r="F168" s="1097"/>
      <c r="G168" s="1096"/>
      <c r="H168" s="1098"/>
      <c r="I168" s="1098"/>
      <c r="J168" s="1096"/>
      <c r="K168" s="1096"/>
      <c r="L168" s="1096"/>
      <c r="M168" s="1096"/>
      <c r="N168" s="1288"/>
      <c r="O168" s="1126" t="s">
        <v>325</v>
      </c>
      <c r="P168" s="1155"/>
      <c r="Q168" s="1099"/>
      <c r="Y168" s="1580" t="s">
        <v>84</v>
      </c>
      <c r="Z168" s="1582"/>
      <c r="AA168" s="1584"/>
      <c r="AB168" s="1584"/>
      <c r="AC168" s="1584"/>
      <c r="AD168" s="1584"/>
      <c r="AE168" s="1584"/>
      <c r="AF168" s="1584"/>
      <c r="AG168" s="1585"/>
    </row>
    <row r="169" spans="2:39" ht="15.65" customHeight="1" x14ac:dyDescent="0.25">
      <c r="B169" s="1095"/>
      <c r="C169" s="1113" t="s">
        <v>327</v>
      </c>
      <c r="D169" s="1096"/>
      <c r="E169" s="449"/>
      <c r="F169" s="1359" t="s">
        <v>86</v>
      </c>
      <c r="G169" s="1096"/>
      <c r="H169" s="1098"/>
      <c r="I169" s="1098"/>
      <c r="J169" s="1096"/>
      <c r="K169" s="1096"/>
      <c r="L169" s="1096"/>
      <c r="M169" s="1096"/>
      <c r="N169" s="1130"/>
      <c r="O169" s="1131">
        <f>Y169*Z169</f>
        <v>0</v>
      </c>
      <c r="P169" s="1132" t="s">
        <v>90</v>
      </c>
      <c r="Q169" s="1099"/>
      <c r="Y169" s="1779">
        <f>VLOOKUP(F169,EnergyConversionTable[#All], 3, FALSE)*E169</f>
        <v>0</v>
      </c>
      <c r="Z169" s="1780">
        <f>'Key Values'!$C$149</f>
        <v>0.95499999999999996</v>
      </c>
      <c r="AA169" s="1584"/>
      <c r="AB169" s="1584"/>
      <c r="AC169" s="1584"/>
      <c r="AD169" s="1584"/>
      <c r="AE169" s="1584"/>
      <c r="AF169" s="1584"/>
      <c r="AG169" s="1585"/>
    </row>
    <row r="170" spans="2:39" ht="15.65" customHeight="1" x14ac:dyDescent="0.25">
      <c r="B170" s="1105"/>
      <c r="C170" s="1106"/>
      <c r="D170" s="1106"/>
      <c r="E170" s="1106"/>
      <c r="F170" s="1106"/>
      <c r="G170" s="1106"/>
      <c r="H170" s="1115"/>
      <c r="I170" s="1115"/>
      <c r="J170" s="1106"/>
      <c r="K170" s="1106"/>
      <c r="L170" s="1106"/>
      <c r="M170" s="1106"/>
      <c r="N170" s="1144" t="s">
        <v>120</v>
      </c>
      <c r="O170" s="1145">
        <f>SUM(O169:O169)</f>
        <v>0</v>
      </c>
      <c r="P170" s="1146" t="s">
        <v>90</v>
      </c>
      <c r="Q170" s="1107"/>
      <c r="Y170" s="1623"/>
      <c r="Z170" s="1584"/>
      <c r="AA170" s="1584"/>
      <c r="AB170" s="1584"/>
      <c r="AC170" s="1584"/>
      <c r="AD170" s="1584"/>
      <c r="AE170" s="1584"/>
      <c r="AF170" s="1584"/>
      <c r="AG170" s="1585"/>
    </row>
    <row r="171" spans="2:39" ht="15.65" customHeight="1" x14ac:dyDescent="0.25">
      <c r="B171" s="1118"/>
      <c r="C171" s="1118"/>
      <c r="D171" s="1118"/>
      <c r="E171" s="1118"/>
      <c r="F171" s="1118"/>
      <c r="G171" s="1118"/>
      <c r="H171" s="1118"/>
      <c r="I171" s="1118"/>
      <c r="J171" s="1118"/>
      <c r="K171" s="1118"/>
      <c r="L171" s="1118"/>
      <c r="M171" s="1118"/>
      <c r="N171" s="1118"/>
      <c r="O171" s="1118"/>
      <c r="P171" s="1118"/>
      <c r="Q171" s="1118"/>
      <c r="Y171" s="1623"/>
      <c r="Z171" s="1584"/>
      <c r="AA171" s="1584"/>
      <c r="AB171" s="1584"/>
      <c r="AC171" s="1584"/>
      <c r="AD171" s="1584"/>
      <c r="AE171" s="1584"/>
      <c r="AF171" s="1584"/>
      <c r="AG171" s="1585"/>
    </row>
    <row r="172" spans="2:39" ht="15.65" customHeight="1" x14ac:dyDescent="0.25">
      <c r="B172" s="1081"/>
      <c r="C172" s="1082"/>
      <c r="D172" s="1082"/>
      <c r="E172" s="1082"/>
      <c r="F172" s="1082"/>
      <c r="G172" s="1082"/>
      <c r="H172" s="1082"/>
      <c r="I172" s="1082"/>
      <c r="J172" s="1082"/>
      <c r="K172" s="1082"/>
      <c r="L172" s="1082"/>
      <c r="M172" s="1082"/>
      <c r="N172" s="1082"/>
      <c r="O172" s="1082"/>
      <c r="P172" s="1082"/>
      <c r="Q172" s="1083"/>
      <c r="Y172" s="1623"/>
      <c r="Z172" s="1584"/>
      <c r="AA172" s="1584"/>
      <c r="AB172" s="1584"/>
      <c r="AC172" s="1584"/>
      <c r="AD172" s="1584"/>
      <c r="AE172" s="1584"/>
      <c r="AF172" s="1584"/>
      <c r="AG172" s="1585"/>
    </row>
    <row r="173" spans="2:39" ht="15.65" customHeight="1" x14ac:dyDescent="0.25">
      <c r="B173" s="1084"/>
      <c r="C173" s="1198" t="s">
        <v>1323</v>
      </c>
      <c r="D173" s="1151"/>
      <c r="E173" s="1833"/>
      <c r="F173" s="1151"/>
      <c r="G173" s="1151"/>
      <c r="H173" s="1151"/>
      <c r="I173" s="1151"/>
      <c r="J173" s="1151"/>
      <c r="K173" s="1151"/>
      <c r="L173" s="1151"/>
      <c r="M173" s="1151"/>
      <c r="N173" s="1151"/>
      <c r="O173" s="1151"/>
      <c r="P173" s="1151"/>
      <c r="Q173" s="1087"/>
      <c r="Y173" s="1623"/>
      <c r="Z173" s="1584"/>
      <c r="AA173" s="1584"/>
      <c r="AB173" s="1584"/>
      <c r="AC173" s="1584"/>
      <c r="AD173" s="1584"/>
      <c r="AE173" s="1584"/>
      <c r="AF173" s="1584"/>
      <c r="AG173" s="1585"/>
    </row>
    <row r="174" spans="2:39" ht="15.65" customHeight="1" x14ac:dyDescent="0.25">
      <c r="B174" s="1089"/>
      <c r="C174" s="1090"/>
      <c r="D174" s="1090"/>
      <c r="E174" s="1200" t="s">
        <v>336</v>
      </c>
      <c r="F174" s="130" t="s">
        <v>337</v>
      </c>
      <c r="G174" s="1091" t="s">
        <v>528</v>
      </c>
      <c r="H174" s="1091" t="s">
        <v>263</v>
      </c>
      <c r="I174" s="1111"/>
      <c r="J174" s="1093"/>
      <c r="K174" s="1093"/>
      <c r="L174" s="1093"/>
      <c r="M174" s="1093"/>
      <c r="N174" s="1093"/>
      <c r="O174" s="1091" t="s">
        <v>323</v>
      </c>
      <c r="P174" s="1093"/>
      <c r="Q174" s="1112"/>
      <c r="Y174" s="1725" t="s">
        <v>77</v>
      </c>
      <c r="Z174" s="1627" t="s">
        <v>330</v>
      </c>
      <c r="AA174" s="1582" t="s">
        <v>331</v>
      </c>
      <c r="AB174" s="1582" t="s">
        <v>123</v>
      </c>
      <c r="AC174" s="1582" t="s">
        <v>264</v>
      </c>
      <c r="AD174" s="1582" t="s">
        <v>265</v>
      </c>
      <c r="AE174" s="1584"/>
      <c r="AF174" s="1584"/>
      <c r="AG174" s="1585"/>
    </row>
    <row r="175" spans="2:39" ht="15.65" customHeight="1" x14ac:dyDescent="0.25">
      <c r="B175" s="1095"/>
      <c r="C175" s="1096"/>
      <c r="D175" s="1096"/>
      <c r="E175" s="1292"/>
      <c r="F175" s="1096"/>
      <c r="G175" s="1096"/>
      <c r="H175" s="1096"/>
      <c r="I175" s="1098"/>
      <c r="J175" s="1096"/>
      <c r="K175" s="1096"/>
      <c r="L175" s="1096"/>
      <c r="M175" s="1096"/>
      <c r="N175" s="1288"/>
      <c r="O175" s="1126" t="s">
        <v>325</v>
      </c>
      <c r="P175" s="1155"/>
      <c r="Q175" s="1099"/>
      <c r="Y175" s="1725" t="s">
        <v>273</v>
      </c>
      <c r="Z175" s="1628" t="s">
        <v>128</v>
      </c>
      <c r="AA175" s="1581" t="s">
        <v>128</v>
      </c>
      <c r="AB175" s="1725" t="s">
        <v>272</v>
      </c>
      <c r="AC175" s="1582" t="s">
        <v>270</v>
      </c>
      <c r="AD175" s="1582" t="s">
        <v>270</v>
      </c>
      <c r="AE175" s="1584"/>
      <c r="AF175" s="1584"/>
      <c r="AG175" s="1585"/>
    </row>
    <row r="176" spans="2:39" ht="15.65" customHeight="1" x14ac:dyDescent="0.25">
      <c r="B176" s="1095"/>
      <c r="C176" s="1113" t="s">
        <v>332</v>
      </c>
      <c r="D176" s="1202"/>
      <c r="E176" s="498"/>
      <c r="F176" s="438"/>
      <c r="G176" s="412"/>
      <c r="H176" s="994"/>
      <c r="I176" s="1098"/>
      <c r="J176" s="1096"/>
      <c r="K176" s="1096"/>
      <c r="L176" s="1096"/>
      <c r="M176" s="1096"/>
      <c r="N176" s="1130"/>
      <c r="O176" s="1131">
        <f>IF(F176="",0,IFERROR(Y176*Z176,'Hidden Lists and Summaries'!$C$158))</f>
        <v>0</v>
      </c>
      <c r="P176" s="1132" t="s">
        <v>90</v>
      </c>
      <c r="Q176" s="1099"/>
      <c r="Y176" s="1781" t="e">
        <f>(AC176+AD176)*AB176</f>
        <v>#N/A</v>
      </c>
      <c r="Z176" s="1782" t="e">
        <f>VLOOKUP(G176,massConv[#All], 3, FALSE)*F176</f>
        <v>#N/A</v>
      </c>
      <c r="AA176" s="1782" t="e">
        <f>VLOOKUP(G176,massConv[#All], 3, FALSE)*E176</f>
        <v>#N/A</v>
      </c>
      <c r="AB176" s="1594" t="e">
        <f>VLOOKUP(H176,SteamProperties[#All],6,FALSE)</f>
        <v>#N/A</v>
      </c>
      <c r="AC176" s="1594">
        <f>'Key Values'!$C$209</f>
        <v>51.53</v>
      </c>
      <c r="AD176" s="1639">
        <f>IFERROR(VLOOKUP(iq_location,GaseousFuelEmbodiedEmissions[#All],IF(iq_metro,2,3),FALSE),0)</f>
        <v>0</v>
      </c>
      <c r="AE176" s="1584"/>
      <c r="AF176" s="1584"/>
      <c r="AG176" s="1585"/>
    </row>
    <row r="177" spans="2:33" ht="15.65" customHeight="1" x14ac:dyDescent="0.25">
      <c r="B177" s="1095"/>
      <c r="C177" s="1113" t="s">
        <v>333</v>
      </c>
      <c r="D177" s="1202"/>
      <c r="E177" s="413"/>
      <c r="F177" s="421"/>
      <c r="G177" s="414"/>
      <c r="H177" s="995"/>
      <c r="I177" s="1098"/>
      <c r="J177" s="1096"/>
      <c r="K177" s="1096"/>
      <c r="L177" s="1096"/>
      <c r="M177" s="1096"/>
      <c r="N177" s="1130"/>
      <c r="O177" s="1131">
        <f>IF(F177="",0,IFERROR(Y177*Z177,'Hidden Lists and Summaries'!$C$158))</f>
        <v>0</v>
      </c>
      <c r="P177" s="1132" t="s">
        <v>90</v>
      </c>
      <c r="Q177" s="1099"/>
      <c r="Y177" s="1783" t="e">
        <f t="shared" ref="Y177:Y178" si="4">(AC177+AD177)*AB177</f>
        <v>#N/A</v>
      </c>
      <c r="Z177" s="1784" t="e">
        <f>VLOOKUP(G177,massConv[#All], 3, FALSE)*F177</f>
        <v>#N/A</v>
      </c>
      <c r="AA177" s="1784" t="e">
        <f>VLOOKUP(G177,massConv[#All], 3, FALSE)*E177</f>
        <v>#N/A</v>
      </c>
      <c r="AB177" s="1584" t="e">
        <f>VLOOKUP(H177,SteamProperties[#All],6,FALSE)</f>
        <v>#N/A</v>
      </c>
      <c r="AC177" s="1584">
        <f>'Key Values'!$C$209</f>
        <v>51.53</v>
      </c>
      <c r="AD177" s="1585">
        <f>IFERROR(VLOOKUP(iq_location,GaseousFuelEmbodiedEmissions[#All],IF(iq_metro,2,3),FALSE),0)</f>
        <v>0</v>
      </c>
      <c r="AE177" s="1584"/>
      <c r="AF177" s="1584"/>
      <c r="AG177" s="1585"/>
    </row>
    <row r="178" spans="2:33" ht="15.65" customHeight="1" x14ac:dyDescent="0.25">
      <c r="B178" s="1095"/>
      <c r="C178" s="1113" t="s">
        <v>334</v>
      </c>
      <c r="D178" s="1202"/>
      <c r="E178" s="450"/>
      <c r="F178" s="422"/>
      <c r="G178" s="416"/>
      <c r="H178" s="996"/>
      <c r="I178" s="1098"/>
      <c r="J178" s="1096"/>
      <c r="K178" s="1096"/>
      <c r="L178" s="1096"/>
      <c r="M178" s="1096"/>
      <c r="N178" s="1130"/>
      <c r="O178" s="1139">
        <f>IF(F178="",0,IFERROR(Y178*Z178,'Hidden Lists and Summaries'!$C$158))</f>
        <v>0</v>
      </c>
      <c r="P178" s="1132" t="s">
        <v>90</v>
      </c>
      <c r="Q178" s="1099"/>
      <c r="Y178" s="1785" t="e">
        <f t="shared" si="4"/>
        <v>#N/A</v>
      </c>
      <c r="Z178" s="1786" t="e">
        <f>VLOOKUP(G178,massConv[#All], 3, FALSE)*F178</f>
        <v>#N/A</v>
      </c>
      <c r="AA178" s="1786" t="e">
        <f>VLOOKUP(G178,massConv[#All], 3, FALSE)*E178</f>
        <v>#N/A</v>
      </c>
      <c r="AB178" s="1610" t="e">
        <f>VLOOKUP(H178,SteamProperties[#All],6,FALSE)</f>
        <v>#N/A</v>
      </c>
      <c r="AC178" s="1610">
        <f>'Key Values'!$C$209</f>
        <v>51.53</v>
      </c>
      <c r="AD178" s="1655">
        <f>IFERROR(VLOOKUP(iq_location,GaseousFuelEmbodiedEmissions[#All],IF(iq_metro,2,3),FALSE),0)</f>
        <v>0</v>
      </c>
      <c r="AE178" s="1584"/>
      <c r="AF178" s="1584"/>
      <c r="AG178" s="1585"/>
    </row>
    <row r="179" spans="2:33" ht="15.65" customHeight="1" x14ac:dyDescent="0.25">
      <c r="B179" s="1105"/>
      <c r="C179" s="1106"/>
      <c r="D179" s="1106"/>
      <c r="E179" s="1206"/>
      <c r="F179" s="1106"/>
      <c r="G179" s="1106"/>
      <c r="H179" s="1115"/>
      <c r="I179" s="1115"/>
      <c r="J179" s="1106"/>
      <c r="K179" s="1106"/>
      <c r="L179" s="1106"/>
      <c r="M179" s="1106"/>
      <c r="N179" s="1144" t="s">
        <v>120</v>
      </c>
      <c r="O179" s="1145">
        <f>SUM(O176:O178)</f>
        <v>0</v>
      </c>
      <c r="P179" s="1146" t="s">
        <v>90</v>
      </c>
      <c r="Q179" s="1107"/>
      <c r="Y179" s="1623"/>
      <c r="Z179" s="1584"/>
      <c r="AA179" s="1584"/>
      <c r="AB179" s="1584"/>
      <c r="AC179" s="1584"/>
      <c r="AD179" s="1584"/>
      <c r="AE179" s="1584"/>
      <c r="AF179" s="1584"/>
      <c r="AG179" s="1585"/>
    </row>
    <row r="180" spans="2:33" ht="15.65" customHeight="1" x14ac:dyDescent="0.25">
      <c r="B180" s="1118"/>
      <c r="C180" s="1118"/>
      <c r="D180" s="1118"/>
      <c r="E180" s="1118"/>
      <c r="F180" s="1118"/>
      <c r="G180" s="1118"/>
      <c r="H180" s="1118"/>
      <c r="I180" s="1118"/>
      <c r="J180" s="1118"/>
      <c r="K180" s="1118"/>
      <c r="L180" s="1118"/>
      <c r="M180" s="1118"/>
      <c r="N180" s="1118"/>
      <c r="O180" s="1118"/>
      <c r="P180" s="1118"/>
      <c r="Q180" s="1118"/>
      <c r="Y180" s="1623"/>
      <c r="Z180" s="1584"/>
      <c r="AA180" s="1584"/>
      <c r="AB180" s="1584"/>
      <c r="AC180" s="1584"/>
      <c r="AD180" s="1584"/>
      <c r="AE180" s="1584"/>
      <c r="AF180" s="1584"/>
      <c r="AG180" s="1585"/>
    </row>
    <row r="181" spans="2:33" ht="15.65" customHeight="1" x14ac:dyDescent="0.25">
      <c r="B181" s="1081"/>
      <c r="C181" s="1082"/>
      <c r="D181" s="1082"/>
      <c r="E181" s="1082"/>
      <c r="F181" s="1082"/>
      <c r="G181" s="1082"/>
      <c r="H181" s="1150" t="s">
        <v>605</v>
      </c>
      <c r="I181" s="1082"/>
      <c r="J181" s="1082"/>
      <c r="K181" s="1082"/>
      <c r="L181" s="1082"/>
      <c r="M181" s="1082"/>
      <c r="N181" s="1082"/>
      <c r="O181" s="1082"/>
      <c r="P181" s="1082"/>
      <c r="Q181" s="1083"/>
      <c r="Y181" s="1623"/>
      <c r="Z181" s="1584"/>
      <c r="AA181" s="1584"/>
      <c r="AB181" s="1584"/>
      <c r="AC181" s="1584"/>
      <c r="AD181" s="1584"/>
      <c r="AE181" s="1584"/>
      <c r="AF181" s="1584"/>
      <c r="AG181" s="1585"/>
    </row>
    <row r="182" spans="2:33" ht="15.65" customHeight="1" x14ac:dyDescent="0.25">
      <c r="B182" s="1084"/>
      <c r="C182" s="1198" t="s">
        <v>1354</v>
      </c>
      <c r="D182" s="1151"/>
      <c r="E182" s="1151"/>
      <c r="F182" s="1151"/>
      <c r="G182" s="1151"/>
      <c r="H182" s="1902" t="s">
        <v>606</v>
      </c>
      <c r="I182" s="1151"/>
      <c r="J182" s="1151"/>
      <c r="K182" s="1151"/>
      <c r="L182" s="1151"/>
      <c r="M182" s="1151"/>
      <c r="N182" s="1151"/>
      <c r="O182" s="1151"/>
      <c r="P182" s="1151"/>
      <c r="Q182" s="1087"/>
      <c r="Y182" s="1623"/>
      <c r="Z182" s="1584"/>
      <c r="AA182" s="1584"/>
      <c r="AB182" s="1584"/>
      <c r="AC182" s="1584"/>
      <c r="AD182" s="1584"/>
      <c r="AE182" s="1584"/>
      <c r="AF182" s="1584"/>
      <c r="AG182" s="1585"/>
    </row>
    <row r="183" spans="2:33" ht="15.65" customHeight="1" x14ac:dyDescent="0.25">
      <c r="B183" s="1089"/>
      <c r="C183" s="1090"/>
      <c r="D183" s="1090"/>
      <c r="E183" s="1251" t="s">
        <v>336</v>
      </c>
      <c r="F183" s="1091" t="s">
        <v>337</v>
      </c>
      <c r="G183" s="1111" t="s">
        <v>184</v>
      </c>
      <c r="H183" s="1896"/>
      <c r="I183" s="1111" t="s">
        <v>184</v>
      </c>
      <c r="J183" s="1093"/>
      <c r="K183" s="1093"/>
      <c r="L183" s="1093"/>
      <c r="M183" s="1093"/>
      <c r="N183" s="1093"/>
      <c r="O183" s="1091" t="s">
        <v>323</v>
      </c>
      <c r="P183" s="1093"/>
      <c r="Q183" s="1112"/>
      <c r="Y183" s="1787" t="s">
        <v>607</v>
      </c>
      <c r="Z183" s="1811" t="s">
        <v>608</v>
      </c>
      <c r="AA183" s="1811" t="s">
        <v>609</v>
      </c>
      <c r="AB183" s="1582" t="s">
        <v>324</v>
      </c>
      <c r="AC183" s="1582" t="s">
        <v>610</v>
      </c>
      <c r="AD183" s="1582" t="s">
        <v>611</v>
      </c>
      <c r="AE183" s="1582" t="s">
        <v>612</v>
      </c>
      <c r="AF183" s="1582" t="s">
        <v>338</v>
      </c>
      <c r="AG183" s="1731" t="s">
        <v>613</v>
      </c>
    </row>
    <row r="184" spans="2:33" ht="15.65" customHeight="1" x14ac:dyDescent="0.25">
      <c r="B184" s="1095"/>
      <c r="C184" s="1096"/>
      <c r="D184" s="1096"/>
      <c r="E184" s="1361"/>
      <c r="F184" s="1096"/>
      <c r="G184" s="1098"/>
      <c r="H184" s="1362"/>
      <c r="I184" s="1098"/>
      <c r="J184" s="1096"/>
      <c r="K184" s="1096"/>
      <c r="L184" s="1096"/>
      <c r="M184" s="1096"/>
      <c r="N184" s="1096"/>
      <c r="O184" s="1096"/>
      <c r="P184" s="1096"/>
      <c r="Q184" s="1099"/>
      <c r="Y184" s="1759"/>
      <c r="Z184" s="1760"/>
      <c r="AA184" s="1760"/>
      <c r="AB184" s="1582"/>
      <c r="AC184" s="1582"/>
      <c r="AD184" s="1582"/>
      <c r="AE184" s="1582"/>
      <c r="AF184" s="1582"/>
      <c r="AG184" s="1731"/>
    </row>
    <row r="185" spans="2:33" ht="15.65" customHeight="1" x14ac:dyDescent="0.25">
      <c r="B185" s="1095"/>
      <c r="C185" s="1096" t="s">
        <v>614</v>
      </c>
      <c r="D185" s="1096"/>
      <c r="E185" s="1106"/>
      <c r="F185" s="1096"/>
      <c r="G185" s="1115"/>
      <c r="H185" s="451"/>
      <c r="I185" s="452"/>
      <c r="J185" s="1096"/>
      <c r="K185" s="1096"/>
      <c r="L185" s="1096"/>
      <c r="M185" s="1096"/>
      <c r="N185" s="1288"/>
      <c r="O185" s="1126" t="s">
        <v>325</v>
      </c>
      <c r="P185" s="1155"/>
      <c r="Q185" s="1099"/>
      <c r="Y185" s="1759" t="s">
        <v>84</v>
      </c>
      <c r="Z185" s="1732" t="s">
        <v>615</v>
      </c>
      <c r="AA185" s="1812"/>
      <c r="AB185" s="1582" t="s">
        <v>616</v>
      </c>
      <c r="AC185" s="1582"/>
      <c r="AD185" s="1582" t="s">
        <v>617</v>
      </c>
      <c r="AE185" s="1582"/>
      <c r="AF185" s="1582" t="s">
        <v>617</v>
      </c>
      <c r="AG185" s="1731" t="s">
        <v>128</v>
      </c>
    </row>
    <row r="186" spans="2:33" ht="15.65" customHeight="1" x14ac:dyDescent="0.25">
      <c r="B186" s="1095"/>
      <c r="C186" s="1113" t="s">
        <v>618</v>
      </c>
      <c r="D186" s="1099"/>
      <c r="E186" s="376"/>
      <c r="F186" s="453"/>
      <c r="G186" s="454"/>
      <c r="H186" s="1364"/>
      <c r="I186" s="1365"/>
      <c r="J186" s="1096"/>
      <c r="K186" s="1096"/>
      <c r="L186" s="1096"/>
      <c r="M186" s="1096"/>
      <c r="N186" s="1130"/>
      <c r="O186" s="1131">
        <f>IF(F186="",0,IFERROR(Z186*AA186*AB186*AC186,'Hidden Lists and Summaries'!$C$158))</f>
        <v>0</v>
      </c>
      <c r="P186" s="1132" t="s">
        <v>90</v>
      </c>
      <c r="Q186" s="1099"/>
      <c r="Y186" s="1813" t="e">
        <f>'Key Values'!$C$238*'Key Values'!$C$239*gasification_hydrogenProductionQuantity*1000</f>
        <v>#N/A</v>
      </c>
      <c r="Z186" s="1782" t="e">
        <f>IF($H$185&lt;&gt;"",VLOOKUP($I$185,EnergyConversionTable[#All], 3, FALSE)*$H$185,Y186)</f>
        <v>#N/A</v>
      </c>
      <c r="AA186" s="1784">
        <f>VLOOKUP(C186,Table8[#All],2,FALSE)</f>
        <v>0.222</v>
      </c>
      <c r="AB186" s="1594">
        <f>'Key Values'!$C$149</f>
        <v>0.95499999999999996</v>
      </c>
      <c r="AC186" s="1814" t="e">
        <f>AF186/AG186</f>
        <v>#N/A</v>
      </c>
      <c r="AD186" s="1594" t="e">
        <f>Z186*1/AE186</f>
        <v>#N/A</v>
      </c>
      <c r="AE186" s="1594">
        <f>VLOOKUP(C186,Table32[#All],2,FALSE)</f>
        <v>0.245</v>
      </c>
      <c r="AF186" s="1594" t="e">
        <f>F186*VLOOKUP(G186,massConv[#All],3,FALSE)</f>
        <v>#N/A</v>
      </c>
      <c r="AG186" s="1762" t="e">
        <f>IF(E186&lt;&gt;"",VLOOKUP(G186,massConv[#All],3,FALSE)*E186,AD186)</f>
        <v>#N/A</v>
      </c>
    </row>
    <row r="187" spans="2:33" ht="15.65" customHeight="1" x14ac:dyDescent="0.25">
      <c r="B187" s="1095"/>
      <c r="C187" s="1113" t="s">
        <v>619</v>
      </c>
      <c r="D187" s="1099"/>
      <c r="E187" s="455"/>
      <c r="F187" s="456"/>
      <c r="G187" s="457"/>
      <c r="H187" s="1366"/>
      <c r="I187" s="1098"/>
      <c r="J187" s="1096"/>
      <c r="K187" s="1096"/>
      <c r="L187" s="1096"/>
      <c r="M187" s="1096"/>
      <c r="N187" s="1130"/>
      <c r="O187" s="1131">
        <f>IF(F187="",0,IFERROR(Z187*AA187*AB187*AC187,'Hidden Lists and Summaries'!$C$158))</f>
        <v>0</v>
      </c>
      <c r="P187" s="1132" t="s">
        <v>90</v>
      </c>
      <c r="Q187" s="1099"/>
      <c r="Y187" s="1815" t="e">
        <f>'Key Values'!$C$238*'Key Values'!$C$239*gasification_hydrogenProductionQuantity*1000</f>
        <v>#N/A</v>
      </c>
      <c r="Z187" s="1784" t="e">
        <f>IF($H$185&lt;&gt;"",VLOOKUP($I$185,EnergyConversionTable[#All], 3, FALSE)*$H$185,Y187)</f>
        <v>#N/A</v>
      </c>
      <c r="AA187" s="1784">
        <f>VLOOKUP(C187,Table8[#All],2,FALSE)</f>
        <v>8.9999999999999993E-3</v>
      </c>
      <c r="AB187" s="1584">
        <f>'Key Values'!$C$149</f>
        <v>0.95499999999999996</v>
      </c>
      <c r="AC187" s="1816" t="e">
        <f>AF187/AG187</f>
        <v>#N/A</v>
      </c>
      <c r="AD187" s="1584" t="e">
        <f>Z187*1/AE187</f>
        <v>#N/A</v>
      </c>
      <c r="AE187" s="1584">
        <f>VLOOKUP(C187,Table32[#All],2,FALSE)</f>
        <v>17.350000000000001</v>
      </c>
      <c r="AF187" s="1584" t="e">
        <f>F187*VLOOKUP(G187,massConv[#All],3,FALSE)</f>
        <v>#N/A</v>
      </c>
      <c r="AG187" s="1764" t="e">
        <f>IF(E187&lt;&gt;"",VLOOKUP(G187,massConv[#All],3,FALSE)*E187,AD187)</f>
        <v>#N/A</v>
      </c>
    </row>
    <row r="188" spans="2:33" ht="15.65" customHeight="1" x14ac:dyDescent="0.25">
      <c r="B188" s="1095"/>
      <c r="C188" s="1113" t="s">
        <v>620</v>
      </c>
      <c r="D188" s="1099"/>
      <c r="E188" s="1569"/>
      <c r="F188" s="459"/>
      <c r="G188" s="460"/>
      <c r="H188" s="1366"/>
      <c r="I188" s="1129"/>
      <c r="J188" s="1096"/>
      <c r="K188" s="1096"/>
      <c r="L188" s="1096"/>
      <c r="M188" s="1096"/>
      <c r="N188" s="1130"/>
      <c r="O188" s="1131">
        <f>IF(F188="",0,IFERROR(Z188*AA188*AB188*AC188,'Hidden Lists and Summaries'!$C$158))</f>
        <v>0</v>
      </c>
      <c r="P188" s="1132" t="s">
        <v>90</v>
      </c>
      <c r="Q188" s="1099"/>
      <c r="Y188" s="1817" t="e">
        <f>'Key Values'!$C$238*'Key Values'!$C$239*gasification_hydrogenProductionQuantity*1000</f>
        <v>#N/A</v>
      </c>
      <c r="Z188" s="1786" t="e">
        <f>IF($H$185&lt;&gt;"",VLOOKUP($I$185,EnergyConversionTable[#All], 3, FALSE)*$H$185,Y188)</f>
        <v>#N/A</v>
      </c>
      <c r="AA188" s="1784">
        <f>VLOOKUP(C188,Table8[#All],2,FALSE)</f>
        <v>0.76900000000000002</v>
      </c>
      <c r="AB188" s="1610">
        <f>'Key Values'!$C$149</f>
        <v>0.95499999999999996</v>
      </c>
      <c r="AC188" s="1818" t="e">
        <f>AF188/AG188</f>
        <v>#N/A</v>
      </c>
      <c r="AD188" s="1610" t="e">
        <f>Z188*1/AE188</f>
        <v>#N/A</v>
      </c>
      <c r="AE188" s="1610">
        <f>VLOOKUP(C188,Table32[#All],2,FALSE)</f>
        <v>0.30380000000000001</v>
      </c>
      <c r="AF188" s="1610" t="e">
        <f>F188*VLOOKUP(G188,massConv[#All],3,FALSE)</f>
        <v>#N/A</v>
      </c>
      <c r="AG188" s="1766" t="e">
        <f>IF(E188&lt;&gt;"",VLOOKUP(G188,massConv[#All],3,FALSE)*E188,AD188)</f>
        <v>#N/A</v>
      </c>
    </row>
    <row r="189" spans="2:33" ht="15.65" customHeight="1" x14ac:dyDescent="0.25">
      <c r="B189" s="1105"/>
      <c r="C189" s="1106"/>
      <c r="D189" s="1106"/>
      <c r="E189" s="1106"/>
      <c r="F189" s="1106"/>
      <c r="G189" s="1097"/>
      <c r="H189" s="1106"/>
      <c r="I189" s="1115"/>
      <c r="J189" s="1106"/>
      <c r="K189" s="1106"/>
      <c r="L189" s="1106"/>
      <c r="M189" s="1106"/>
      <c r="N189" s="1144" t="s">
        <v>120</v>
      </c>
      <c r="O189" s="1145">
        <f>SUM(O186:O188)</f>
        <v>0</v>
      </c>
      <c r="P189" s="1146" t="s">
        <v>90</v>
      </c>
      <c r="Q189" s="1107"/>
      <c r="Y189" s="1623"/>
      <c r="Z189" s="1584"/>
      <c r="AA189" s="1594"/>
      <c r="AB189" s="1584"/>
      <c r="AC189" s="1584"/>
      <c r="AD189" s="1584"/>
      <c r="AE189" s="1584"/>
      <c r="AF189" s="1584"/>
      <c r="AG189" s="1585"/>
    </row>
    <row r="190" spans="2:33" ht="15.65" customHeight="1" x14ac:dyDescent="0.25">
      <c r="B190" s="1118"/>
      <c r="C190" s="1118"/>
      <c r="D190" s="1118"/>
      <c r="E190" s="1118"/>
      <c r="F190" s="1118"/>
      <c r="G190" s="1118"/>
      <c r="H190" s="1118"/>
      <c r="I190" s="1118"/>
      <c r="J190" s="1118"/>
      <c r="K190" s="1118"/>
      <c r="L190" s="1118"/>
      <c r="M190" s="1118"/>
      <c r="N190" s="1118"/>
      <c r="O190" s="1118"/>
      <c r="P190" s="1118"/>
      <c r="Q190" s="1118"/>
      <c r="Y190" s="1623"/>
      <c r="Z190" s="1584"/>
      <c r="AA190" s="1584"/>
      <c r="AB190" s="1584"/>
      <c r="AC190" s="1584"/>
      <c r="AD190" s="1584"/>
      <c r="AE190" s="1584"/>
      <c r="AF190" s="1584"/>
      <c r="AG190" s="1585"/>
    </row>
    <row r="191" spans="2:33" ht="15.65" customHeight="1" x14ac:dyDescent="0.25">
      <c r="B191" s="1081"/>
      <c r="C191" s="1082"/>
      <c r="D191" s="1082"/>
      <c r="E191" s="1082"/>
      <c r="F191" s="1082"/>
      <c r="G191" s="1082"/>
      <c r="H191" s="1082"/>
      <c r="I191" s="1082"/>
      <c r="J191" s="1082"/>
      <c r="K191" s="1082"/>
      <c r="L191" s="1082"/>
      <c r="M191" s="1082"/>
      <c r="N191" s="1082"/>
      <c r="O191" s="1082"/>
      <c r="P191" s="1082"/>
      <c r="Q191" s="1083"/>
      <c r="Y191" s="1623"/>
      <c r="Z191" s="1584"/>
      <c r="AA191" s="1584"/>
      <c r="AB191" s="1584"/>
      <c r="AC191" s="1584"/>
      <c r="AD191" s="1584"/>
      <c r="AE191" s="1584"/>
      <c r="AF191" s="1584"/>
      <c r="AG191" s="1585"/>
    </row>
    <row r="192" spans="2:33" ht="15.65" customHeight="1" x14ac:dyDescent="0.25">
      <c r="B192" s="1084"/>
      <c r="C192" s="1109" t="s">
        <v>1355</v>
      </c>
      <c r="D192" s="1086"/>
      <c r="E192" s="1086"/>
      <c r="F192" s="1086"/>
      <c r="G192" s="1086"/>
      <c r="H192" s="1086"/>
      <c r="I192" s="1086"/>
      <c r="J192" s="1086"/>
      <c r="K192" s="1086"/>
      <c r="L192" s="1086"/>
      <c r="M192" s="1086"/>
      <c r="N192" s="1086"/>
      <c r="O192" s="1086"/>
      <c r="P192" s="1086"/>
      <c r="Q192" s="1087"/>
      <c r="Y192" s="1623"/>
      <c r="Z192" s="1584"/>
      <c r="AA192" s="1584"/>
      <c r="AB192" s="1584"/>
      <c r="AC192" s="1584"/>
      <c r="AD192" s="1584"/>
      <c r="AE192" s="1584"/>
      <c r="AF192" s="1584"/>
      <c r="AG192" s="1585"/>
    </row>
    <row r="193" spans="2:33" ht="31" x14ac:dyDescent="0.35">
      <c r="B193" s="1089"/>
      <c r="C193" s="1090"/>
      <c r="D193" s="1090"/>
      <c r="E193" s="1834" t="s">
        <v>336</v>
      </c>
      <c r="F193" s="1835" t="s">
        <v>337</v>
      </c>
      <c r="G193" s="1716" t="s">
        <v>621</v>
      </c>
      <c r="H193" s="1835" t="s">
        <v>184</v>
      </c>
      <c r="I193" s="1111"/>
      <c r="J193" s="1093"/>
      <c r="K193" s="1093"/>
      <c r="L193" s="1093"/>
      <c r="M193" s="1093"/>
      <c r="N193" s="1093"/>
      <c r="O193" s="1091" t="s">
        <v>323</v>
      </c>
      <c r="P193" s="1093"/>
      <c r="Q193" s="1112"/>
      <c r="Y193" s="1787" t="s">
        <v>77</v>
      </c>
      <c r="Z193" s="1582" t="s">
        <v>622</v>
      </c>
      <c r="AA193" s="1582" t="s">
        <v>338</v>
      </c>
      <c r="AB193" s="1624"/>
      <c r="AC193" s="1584"/>
      <c r="AD193" s="1584"/>
      <c r="AE193" s="1584"/>
      <c r="AF193" s="1584"/>
      <c r="AG193" s="1585"/>
    </row>
    <row r="194" spans="2:33" ht="15.65" customHeight="1" x14ac:dyDescent="0.25">
      <c r="B194" s="1095"/>
      <c r="C194" s="1096"/>
      <c r="D194" s="1096"/>
      <c r="E194" s="1228"/>
      <c r="F194" s="1096"/>
      <c r="G194" s="1096"/>
      <c r="H194" s="1096"/>
      <c r="I194" s="1098"/>
      <c r="J194" s="1096"/>
      <c r="K194" s="1096"/>
      <c r="L194" s="1096"/>
      <c r="M194" s="1096"/>
      <c r="N194" s="1288"/>
      <c r="O194" s="1126" t="s">
        <v>325</v>
      </c>
      <c r="P194" s="1155"/>
      <c r="Q194" s="1099"/>
      <c r="Y194" s="1580" t="s">
        <v>623</v>
      </c>
      <c r="Z194" s="1581" t="s">
        <v>624</v>
      </c>
      <c r="AA194" s="1581" t="s">
        <v>624</v>
      </c>
      <c r="AB194" s="1584"/>
      <c r="AC194" s="1584"/>
      <c r="AD194" s="1584"/>
      <c r="AE194" s="1584"/>
      <c r="AF194" s="1584"/>
      <c r="AG194" s="1585"/>
    </row>
    <row r="195" spans="2:33" ht="15.65" customHeight="1" x14ac:dyDescent="0.25">
      <c r="B195" s="1095"/>
      <c r="C195" s="1113" t="s">
        <v>625</v>
      </c>
      <c r="D195" s="1099"/>
      <c r="E195" s="461"/>
      <c r="F195" s="462"/>
      <c r="G195" s="1014"/>
      <c r="H195" s="463"/>
      <c r="I195" s="1098"/>
      <c r="J195" s="1096"/>
      <c r="K195" s="1096"/>
      <c r="L195" s="1096"/>
      <c r="M195" s="1096"/>
      <c r="N195" s="1130"/>
      <c r="O195" s="1131">
        <f>IF(E195="",0,Y195*AA195)</f>
        <v>0</v>
      </c>
      <c r="P195" s="1132" t="s">
        <v>90</v>
      </c>
      <c r="Q195" s="1099"/>
      <c r="Y195" s="1819">
        <f>G195</f>
        <v>0</v>
      </c>
      <c r="Z195" s="1594">
        <f t="shared" ref="Z195:AA198" si="5">E195</f>
        <v>0</v>
      </c>
      <c r="AA195" s="1639">
        <f t="shared" si="5"/>
        <v>0</v>
      </c>
      <c r="AB195" s="1584"/>
      <c r="AC195" s="1584"/>
      <c r="AD195" s="1584"/>
      <c r="AE195" s="1584"/>
      <c r="AF195" s="1584"/>
      <c r="AG195" s="1585"/>
    </row>
    <row r="196" spans="2:33" ht="15.65" customHeight="1" x14ac:dyDescent="0.25">
      <c r="B196" s="1095"/>
      <c r="C196" s="1161" t="s">
        <v>626</v>
      </c>
      <c r="D196" s="1099"/>
      <c r="E196" s="464"/>
      <c r="F196" s="465"/>
      <c r="G196" s="1015"/>
      <c r="H196" s="383"/>
      <c r="I196" s="1098"/>
      <c r="J196" s="1096"/>
      <c r="K196" s="1096"/>
      <c r="L196" s="1096"/>
      <c r="M196" s="1096"/>
      <c r="N196" s="1130"/>
      <c r="O196" s="1131">
        <f t="shared" ref="O196:O198" si="6">IF(E196="",0,Y196*AA196)</f>
        <v>0</v>
      </c>
      <c r="P196" s="1132" t="s">
        <v>90</v>
      </c>
      <c r="Q196" s="1099"/>
      <c r="Y196" s="1743">
        <f>G196</f>
        <v>0</v>
      </c>
      <c r="Z196" s="1584">
        <f t="shared" si="5"/>
        <v>0</v>
      </c>
      <c r="AA196" s="1585">
        <f t="shared" si="5"/>
        <v>0</v>
      </c>
      <c r="AB196" s="1584"/>
      <c r="AC196" s="1584"/>
      <c r="AD196" s="1584"/>
      <c r="AE196" s="1584"/>
      <c r="AF196" s="1584"/>
      <c r="AG196" s="1585"/>
    </row>
    <row r="197" spans="2:33" ht="15.65" customHeight="1" x14ac:dyDescent="0.25">
      <c r="B197" s="1095"/>
      <c r="C197" s="469" t="s">
        <v>627</v>
      </c>
      <c r="D197" s="1277"/>
      <c r="E197" s="466"/>
      <c r="F197" s="376"/>
      <c r="G197" s="1015"/>
      <c r="H197" s="383"/>
      <c r="I197" s="1098"/>
      <c r="J197" s="1096"/>
      <c r="K197" s="1096"/>
      <c r="L197" s="1096"/>
      <c r="M197" s="1096"/>
      <c r="N197" s="1130"/>
      <c r="O197" s="1131">
        <f t="shared" si="6"/>
        <v>0</v>
      </c>
      <c r="P197" s="1132" t="s">
        <v>90</v>
      </c>
      <c r="Q197" s="1099"/>
      <c r="Y197" s="1743">
        <f>G197</f>
        <v>0</v>
      </c>
      <c r="Z197" s="1584">
        <f t="shared" si="5"/>
        <v>0</v>
      </c>
      <c r="AA197" s="1585">
        <f t="shared" si="5"/>
        <v>0</v>
      </c>
      <c r="AB197" s="1584"/>
      <c r="AC197" s="1584"/>
      <c r="AD197" s="1584"/>
      <c r="AE197" s="1584"/>
      <c r="AF197" s="1584"/>
      <c r="AG197" s="1585"/>
    </row>
    <row r="198" spans="2:33" ht="15.65" customHeight="1" x14ac:dyDescent="0.25">
      <c r="B198" s="1095"/>
      <c r="C198" s="470" t="s">
        <v>628</v>
      </c>
      <c r="D198" s="1277"/>
      <c r="E198" s="467"/>
      <c r="F198" s="468"/>
      <c r="G198" s="1016"/>
      <c r="H198" s="395"/>
      <c r="I198" s="1098"/>
      <c r="J198" s="1096"/>
      <c r="K198" s="1096"/>
      <c r="L198" s="1096"/>
      <c r="M198" s="1096"/>
      <c r="N198" s="1130"/>
      <c r="O198" s="1131">
        <f t="shared" si="6"/>
        <v>0</v>
      </c>
      <c r="P198" s="1132" t="s">
        <v>90</v>
      </c>
      <c r="Q198" s="1099"/>
      <c r="Y198" s="1777">
        <f>G198</f>
        <v>0</v>
      </c>
      <c r="Z198" s="1610">
        <f t="shared" si="5"/>
        <v>0</v>
      </c>
      <c r="AA198" s="1655">
        <f t="shared" si="5"/>
        <v>0</v>
      </c>
      <c r="AB198" s="1584"/>
      <c r="AC198" s="1584"/>
      <c r="AD198" s="1584"/>
      <c r="AE198" s="1584"/>
      <c r="AF198" s="1584"/>
      <c r="AG198" s="1585"/>
    </row>
    <row r="199" spans="2:33" ht="15.65" customHeight="1" x14ac:dyDescent="0.25">
      <c r="B199" s="1105"/>
      <c r="C199" s="1106"/>
      <c r="D199" s="1106"/>
      <c r="E199" s="1097"/>
      <c r="F199" s="1106"/>
      <c r="G199" s="1106"/>
      <c r="H199" s="1115"/>
      <c r="I199" s="1115"/>
      <c r="J199" s="1106"/>
      <c r="K199" s="1106"/>
      <c r="L199" s="1106"/>
      <c r="M199" s="1106"/>
      <c r="N199" s="1144" t="s">
        <v>120</v>
      </c>
      <c r="O199" s="1145">
        <f>SUM(O195:O198)</f>
        <v>0</v>
      </c>
      <c r="P199" s="1146" t="s">
        <v>90</v>
      </c>
      <c r="Q199" s="1107"/>
      <c r="Y199" s="1623"/>
      <c r="Z199" s="1584"/>
      <c r="AA199" s="1584"/>
      <c r="AB199" s="1584"/>
      <c r="AC199" s="1584"/>
      <c r="AD199" s="1584"/>
      <c r="AE199" s="1584"/>
      <c r="AF199" s="1584"/>
      <c r="AG199" s="1585"/>
    </row>
    <row r="200" spans="2:33" ht="15.65" customHeight="1" x14ac:dyDescent="0.25">
      <c r="B200" s="1118"/>
      <c r="C200" s="1118"/>
      <c r="D200" s="1118"/>
      <c r="E200" s="1118"/>
      <c r="F200" s="1118"/>
      <c r="G200" s="1118"/>
      <c r="H200" s="1118"/>
      <c r="I200" s="1118"/>
      <c r="J200" s="1118"/>
      <c r="K200" s="1118"/>
      <c r="L200" s="1118"/>
      <c r="M200" s="1118"/>
      <c r="N200" s="1118"/>
      <c r="O200" s="1118"/>
      <c r="P200" s="1118"/>
      <c r="Q200" s="1118"/>
      <c r="Y200" s="1623"/>
      <c r="Z200" s="1584"/>
      <c r="AA200" s="1584"/>
      <c r="AB200" s="1584"/>
      <c r="AC200" s="1584"/>
      <c r="AD200" s="1584"/>
      <c r="AE200" s="1584"/>
      <c r="AF200" s="1584"/>
      <c r="AG200" s="1585"/>
    </row>
    <row r="201" spans="2:33" ht="15.65" customHeight="1" x14ac:dyDescent="0.25">
      <c r="B201" s="1081"/>
      <c r="C201" s="1082"/>
      <c r="D201" s="1082"/>
      <c r="E201" s="1082"/>
      <c r="F201" s="1082"/>
      <c r="G201" s="1082"/>
      <c r="H201" s="1082"/>
      <c r="I201" s="1082"/>
      <c r="J201" s="1082"/>
      <c r="K201" s="1082"/>
      <c r="L201" s="1082"/>
      <c r="M201" s="1082"/>
      <c r="N201" s="1082"/>
      <c r="O201" s="1082"/>
      <c r="P201" s="1082"/>
      <c r="Q201" s="1083"/>
      <c r="Y201" s="1623"/>
      <c r="Z201" s="1584"/>
      <c r="AA201" s="1584"/>
      <c r="AB201" s="1584"/>
      <c r="AC201" s="1584"/>
      <c r="AD201" s="1584"/>
      <c r="AE201" s="1584"/>
      <c r="AF201" s="1584"/>
      <c r="AG201" s="1585"/>
    </row>
    <row r="202" spans="2:33" ht="15.65" customHeight="1" x14ac:dyDescent="0.25">
      <c r="B202" s="1084"/>
      <c r="C202" s="1895" t="s">
        <v>343</v>
      </c>
      <c r="D202" s="1086"/>
      <c r="E202" s="1211"/>
      <c r="F202" s="1897" t="s">
        <v>337</v>
      </c>
      <c r="G202" s="1086"/>
      <c r="H202" s="1902" t="s">
        <v>629</v>
      </c>
      <c r="I202" s="1086"/>
      <c r="J202" s="1086"/>
      <c r="K202" s="1086"/>
      <c r="L202" s="1086"/>
      <c r="M202" s="1086"/>
      <c r="N202" s="1086"/>
      <c r="O202" s="1086"/>
      <c r="P202" s="1086"/>
      <c r="Q202" s="1087"/>
      <c r="Y202" s="1623"/>
      <c r="Z202" s="1584"/>
      <c r="AA202" s="1584"/>
      <c r="AB202" s="1584"/>
      <c r="AC202" s="1584"/>
      <c r="AD202" s="1584"/>
      <c r="AE202" s="1584"/>
      <c r="AF202" s="1584"/>
      <c r="AG202" s="1585"/>
    </row>
    <row r="203" spans="2:33" ht="15.65" customHeight="1" x14ac:dyDescent="0.25">
      <c r="B203" s="1089"/>
      <c r="C203" s="1896"/>
      <c r="D203" s="1090"/>
      <c r="E203" s="1253" t="s">
        <v>336</v>
      </c>
      <c r="F203" s="1898"/>
      <c r="G203" s="1091" t="s">
        <v>184</v>
      </c>
      <c r="H203" s="1896"/>
      <c r="I203" s="1093"/>
      <c r="J203" s="1093"/>
      <c r="K203" s="1093"/>
      <c r="L203" s="1093"/>
      <c r="M203" s="1093"/>
      <c r="N203" s="1093"/>
      <c r="O203" s="1091" t="s">
        <v>323</v>
      </c>
      <c r="P203" s="1093"/>
      <c r="Q203" s="1112"/>
      <c r="Y203" s="1725" t="s">
        <v>630</v>
      </c>
      <c r="Z203" s="1811" t="s">
        <v>631</v>
      </c>
      <c r="AA203" s="1811" t="s">
        <v>632</v>
      </c>
      <c r="AB203" s="1582" t="s">
        <v>633</v>
      </c>
      <c r="AC203" s="1582" t="s">
        <v>634</v>
      </c>
      <c r="AD203" s="1582" t="s">
        <v>635</v>
      </c>
      <c r="AE203" s="1584"/>
      <c r="AF203" s="1584"/>
      <c r="AG203" s="1585"/>
    </row>
    <row r="204" spans="2:33" ht="15.65" customHeight="1" x14ac:dyDescent="0.25">
      <c r="B204" s="1095"/>
      <c r="C204" s="1097"/>
      <c r="D204" s="1096"/>
      <c r="E204" s="1173"/>
      <c r="F204" s="1096"/>
      <c r="G204" s="1096"/>
      <c r="H204" s="1096"/>
      <c r="I204" s="1096"/>
      <c r="J204" s="1096"/>
      <c r="K204" s="1096"/>
      <c r="L204" s="1096"/>
      <c r="M204" s="1096"/>
      <c r="N204" s="1288"/>
      <c r="O204" s="1126" t="s">
        <v>325</v>
      </c>
      <c r="P204" s="1155"/>
      <c r="Q204" s="1099"/>
      <c r="Y204" s="1803" t="s">
        <v>636</v>
      </c>
      <c r="Z204" s="1628" t="s">
        <v>636</v>
      </c>
      <c r="AA204" s="1628" t="s">
        <v>128</v>
      </c>
      <c r="AB204" s="1581" t="s">
        <v>128</v>
      </c>
      <c r="AC204" s="1581" t="s">
        <v>636</v>
      </c>
      <c r="AD204" s="1581" t="s">
        <v>128</v>
      </c>
      <c r="AE204" s="1584"/>
      <c r="AF204" s="1584"/>
      <c r="AG204" s="1585"/>
    </row>
    <row r="205" spans="2:33" ht="15.65" customHeight="1" x14ac:dyDescent="0.25">
      <c r="B205" s="1095"/>
      <c r="C205" s="471" t="s">
        <v>637</v>
      </c>
      <c r="D205" s="1096"/>
      <c r="E205" s="474"/>
      <c r="F205" s="412"/>
      <c r="G205" s="475"/>
      <c r="H205" s="1017"/>
      <c r="I205" s="1095"/>
      <c r="J205" s="1096"/>
      <c r="K205" s="1096"/>
      <c r="L205" s="1096"/>
      <c r="M205" s="1096"/>
      <c r="N205" s="1130"/>
      <c r="O205" s="1131">
        <f>IF(F205="",0,IFERROR(AB205*Z205/AC205,'Hidden Lists and Summaries'!$C$158))</f>
        <v>0</v>
      </c>
      <c r="P205" s="1132" t="s">
        <v>90</v>
      </c>
      <c r="Q205" s="1099"/>
      <c r="Y205" s="1637" t="e">
        <f>'Key Values'!$B$286*gasification_hydrogenProductionQuantity*1000</f>
        <v>#N/A</v>
      </c>
      <c r="Z205" s="1594">
        <f>IFERROR(H205*AA205,0)</f>
        <v>0</v>
      </c>
      <c r="AA205" s="1782" t="e">
        <f>VLOOKUP(G205,massConv[#All],3,FALSE)*F205</f>
        <v>#N/A</v>
      </c>
      <c r="AB205" s="1594">
        <f>$H$240-SUM($H$242:$H$244,$H$246:$H$249)</f>
        <v>0</v>
      </c>
      <c r="AC205" s="1594" t="e">
        <f>$Y$205+SUM($Z$205:$Z$207)</f>
        <v>#N/A</v>
      </c>
      <c r="AD205" s="1639" t="e">
        <f>E205*VLOOKUP(G205,massConv[#All],3,FALSE)</f>
        <v>#N/A</v>
      </c>
      <c r="AE205" s="1584"/>
      <c r="AF205" s="1584"/>
      <c r="AG205" s="1585"/>
    </row>
    <row r="206" spans="2:33" ht="15.65" customHeight="1" x14ac:dyDescent="0.25">
      <c r="B206" s="1095"/>
      <c r="C206" s="472" t="s">
        <v>638</v>
      </c>
      <c r="D206" s="1096"/>
      <c r="E206" s="476"/>
      <c r="F206" s="477"/>
      <c r="G206" s="478"/>
      <c r="H206" s="1018"/>
      <c r="I206" s="1095"/>
      <c r="J206" s="1096"/>
      <c r="K206" s="1096"/>
      <c r="L206" s="1096"/>
      <c r="M206" s="1096"/>
      <c r="N206" s="1130"/>
      <c r="O206" s="1131">
        <f>IF(F206="",0,IFERROR(AB206*Z206/AC206,'Hidden Lists and Summaries'!$C$158))</f>
        <v>0</v>
      </c>
      <c r="P206" s="1132" t="s">
        <v>90</v>
      </c>
      <c r="Q206" s="1099"/>
      <c r="Y206" s="1623"/>
      <c r="Z206" s="1584">
        <f>IFERROR(H206*AA206,0)</f>
        <v>0</v>
      </c>
      <c r="AA206" s="1784" t="e">
        <f>VLOOKUP(G206,massConv[#All],3,FALSE)*F206</f>
        <v>#N/A</v>
      </c>
      <c r="AB206" s="1584">
        <f>$H$240-SUM($H$243:$H$244,$H$246:$H$248)</f>
        <v>0</v>
      </c>
      <c r="AC206" s="1584" t="e">
        <f>$Y$205+SUM($Z$205:$Z$207)</f>
        <v>#N/A</v>
      </c>
      <c r="AD206" s="1585" t="e">
        <f>E206*VLOOKUP(G206,massConv[#All],3,FALSE)</f>
        <v>#N/A</v>
      </c>
      <c r="AE206" s="1584"/>
      <c r="AF206" s="1584"/>
      <c r="AG206" s="1585"/>
    </row>
    <row r="207" spans="2:33" ht="15.65" customHeight="1" x14ac:dyDescent="0.25">
      <c r="B207" s="1095"/>
      <c r="C207" s="473" t="s">
        <v>639</v>
      </c>
      <c r="D207" s="1096"/>
      <c r="E207" s="479"/>
      <c r="F207" s="480"/>
      <c r="G207" s="392"/>
      <c r="H207" s="1019"/>
      <c r="I207" s="1095"/>
      <c r="J207" s="1096"/>
      <c r="K207" s="1096"/>
      <c r="L207" s="1096"/>
      <c r="M207" s="1096"/>
      <c r="N207" s="1130"/>
      <c r="O207" s="1131">
        <f>IF(F207="",0,IFERROR(AB207*Z207/AC207,'Hidden Lists and Summaries'!$C$158))</f>
        <v>0</v>
      </c>
      <c r="P207" s="1132" t="s">
        <v>90</v>
      </c>
      <c r="Q207" s="1099"/>
      <c r="Y207" s="1653"/>
      <c r="Z207" s="1610">
        <f>IFERROR(H207*AA207,0)</f>
        <v>0</v>
      </c>
      <c r="AA207" s="1786" t="e">
        <f>VLOOKUP(G207,massConv[#All],3,FALSE)*F207</f>
        <v>#N/A</v>
      </c>
      <c r="AB207" s="1610">
        <f>$H$240-SUM($H$243:$H$244,$H$246:$H$248)</f>
        <v>0</v>
      </c>
      <c r="AC207" s="1610" t="e">
        <f>$Y$205+SUM($Z$205:$Z$207)</f>
        <v>#N/A</v>
      </c>
      <c r="AD207" s="1655" t="e">
        <f>E207*VLOOKUP(G207,massConv[#All],3,FALSE)</f>
        <v>#N/A</v>
      </c>
      <c r="AE207" s="1584"/>
      <c r="AF207" s="1584"/>
      <c r="AG207" s="1585"/>
    </row>
    <row r="208" spans="2:33" ht="15.65" customHeight="1" x14ac:dyDescent="0.25">
      <c r="B208" s="1105"/>
      <c r="C208" s="1106"/>
      <c r="D208" s="1106"/>
      <c r="E208" s="1106"/>
      <c r="F208" s="1106"/>
      <c r="G208" s="1106"/>
      <c r="H208" s="1115"/>
      <c r="I208" s="1115"/>
      <c r="J208" s="1106"/>
      <c r="K208" s="1106"/>
      <c r="L208" s="1106"/>
      <c r="M208" s="1106"/>
      <c r="N208" s="1144" t="s">
        <v>120</v>
      </c>
      <c r="O208" s="1145">
        <f>SUM(O205:O207)</f>
        <v>0</v>
      </c>
      <c r="P208" s="1146" t="s">
        <v>90</v>
      </c>
      <c r="Q208" s="1107"/>
      <c r="Y208" s="1623"/>
      <c r="Z208" s="1584"/>
      <c r="AA208" s="1584"/>
      <c r="AB208" s="1584"/>
      <c r="AC208" s="1584"/>
      <c r="AD208" s="1584"/>
      <c r="AE208" s="1584"/>
      <c r="AF208" s="1584"/>
      <c r="AG208" s="1585"/>
    </row>
    <row r="209" spans="1:34" ht="15.65" hidden="1" customHeight="1" x14ac:dyDescent="0.25">
      <c r="B209" s="1118"/>
      <c r="C209" s="1118"/>
      <c r="D209" s="1118"/>
      <c r="E209" s="1118"/>
      <c r="F209" s="1118"/>
      <c r="G209" s="1118"/>
      <c r="H209" s="1118"/>
      <c r="I209" s="1118"/>
      <c r="J209" s="1118"/>
      <c r="K209" s="1118"/>
      <c r="L209" s="1118"/>
      <c r="M209" s="1118"/>
      <c r="N209" s="1118"/>
      <c r="O209" s="1118"/>
      <c r="P209" s="1118"/>
      <c r="Q209" s="1118"/>
      <c r="Y209" s="1623"/>
      <c r="Z209" s="1584"/>
      <c r="AA209" s="1584"/>
      <c r="AB209" s="1584"/>
      <c r="AC209" s="1584"/>
      <c r="AD209" s="1584"/>
      <c r="AE209" s="1584"/>
      <c r="AF209" s="1585"/>
    </row>
    <row r="210" spans="1:34" ht="15.65" hidden="1" customHeight="1" x14ac:dyDescent="0.25">
      <c r="B210" s="1081"/>
      <c r="C210" s="1082"/>
      <c r="D210" s="1082"/>
      <c r="E210" s="1082"/>
      <c r="F210" s="1082"/>
      <c r="G210" s="1082"/>
      <c r="H210" s="1082"/>
      <c r="I210" s="1082"/>
      <c r="J210" s="1082"/>
      <c r="K210" s="1082"/>
      <c r="L210" s="1082"/>
      <c r="M210" s="1082"/>
      <c r="N210" s="1082"/>
      <c r="O210" s="1082"/>
      <c r="P210" s="1082"/>
      <c r="Q210" s="1083"/>
      <c r="Y210" s="1623"/>
      <c r="Z210" s="1584"/>
      <c r="AA210" s="1584"/>
      <c r="AB210" s="1584"/>
      <c r="AC210" s="1584"/>
      <c r="AD210" s="1584"/>
      <c r="AE210" s="1584"/>
      <c r="AF210" s="1585"/>
    </row>
    <row r="211" spans="1:34" ht="15.65" hidden="1" customHeight="1" x14ac:dyDescent="0.25">
      <c r="B211" s="1084"/>
      <c r="C211" s="1109" t="s">
        <v>343</v>
      </c>
      <c r="D211" s="1086"/>
      <c r="E211" s="1086"/>
      <c r="F211" s="1086"/>
      <c r="G211" s="1086"/>
      <c r="H211" s="1086"/>
      <c r="I211" s="1086"/>
      <c r="J211" s="1086"/>
      <c r="K211" s="1086"/>
      <c r="L211" s="1086"/>
      <c r="M211" s="1086"/>
      <c r="N211" s="1086"/>
      <c r="O211" s="1086"/>
      <c r="P211" s="1086"/>
      <c r="Q211" s="1087"/>
      <c r="Y211" s="1623"/>
      <c r="Z211" s="1584"/>
      <c r="AA211" s="1584"/>
      <c r="AB211" s="1584"/>
      <c r="AC211" s="1584"/>
      <c r="AD211" s="1584"/>
      <c r="AE211" s="1584"/>
      <c r="AF211" s="1585"/>
    </row>
    <row r="212" spans="1:34" ht="15.65" hidden="1" customHeight="1" x14ac:dyDescent="0.25">
      <c r="B212" s="1089"/>
      <c r="C212" s="1090"/>
      <c r="D212" s="1090"/>
      <c r="E212" s="1291" t="s">
        <v>336</v>
      </c>
      <c r="F212" s="1091" t="s">
        <v>337</v>
      </c>
      <c r="G212" s="1091" t="s">
        <v>184</v>
      </c>
      <c r="H212" s="1091" t="s">
        <v>344</v>
      </c>
      <c r="I212" s="1111"/>
      <c r="J212" s="1093"/>
      <c r="K212" s="1093"/>
      <c r="L212" s="1093"/>
      <c r="M212" s="1093"/>
      <c r="N212" s="1093"/>
      <c r="O212" s="1091" t="s">
        <v>323</v>
      </c>
      <c r="P212" s="1093"/>
      <c r="Q212" s="1112"/>
      <c r="Y212" s="1787" t="s">
        <v>340</v>
      </c>
      <c r="Z212" s="1787" t="s">
        <v>338</v>
      </c>
      <c r="AA212" s="1787" t="s">
        <v>345</v>
      </c>
      <c r="AB212" s="1787" t="s">
        <v>346</v>
      </c>
      <c r="AC212" s="1584"/>
      <c r="AD212" s="1584"/>
      <c r="AE212" s="1584"/>
      <c r="AF212" s="1585"/>
    </row>
    <row r="213" spans="1:34" ht="15.65" hidden="1" customHeight="1" x14ac:dyDescent="0.25">
      <c r="B213" s="1095"/>
      <c r="C213" s="1096"/>
      <c r="D213" s="1096"/>
      <c r="E213" s="1173"/>
      <c r="F213" s="1096"/>
      <c r="G213" s="1096"/>
      <c r="H213" s="1096"/>
      <c r="I213" s="1098"/>
      <c r="J213" s="1096"/>
      <c r="K213" s="1096"/>
      <c r="L213" s="1096"/>
      <c r="M213" s="1096"/>
      <c r="N213" s="1288"/>
      <c r="O213" s="1126" t="s">
        <v>325</v>
      </c>
      <c r="P213" s="1155"/>
      <c r="Q213" s="1099"/>
      <c r="Y213" s="1580" t="s">
        <v>347</v>
      </c>
      <c r="Z213" s="1580" t="s">
        <v>347</v>
      </c>
      <c r="AA213" s="1580"/>
      <c r="AB213" s="1580" t="s">
        <v>116</v>
      </c>
      <c r="AC213" s="1584"/>
      <c r="AD213" s="1584"/>
      <c r="AE213" s="1584"/>
      <c r="AF213" s="1585"/>
    </row>
    <row r="214" spans="1:34" ht="15.65" hidden="1" customHeight="1" x14ac:dyDescent="0.25">
      <c r="B214" s="1095"/>
      <c r="C214" s="469" t="s">
        <v>348</v>
      </c>
      <c r="D214" s="1202"/>
      <c r="E214" s="411"/>
      <c r="F214" s="357"/>
      <c r="G214" s="363"/>
      <c r="H214" s="927"/>
      <c r="I214" s="1098"/>
      <c r="J214" s="1096"/>
      <c r="K214" s="1096"/>
      <c r="L214" s="1096"/>
      <c r="M214" s="1096"/>
      <c r="N214" s="1130"/>
      <c r="O214" s="1131">
        <f>IFERROR(AB214,'Hidden Lists and Summaries'!$C$158)</f>
        <v>0</v>
      </c>
      <c r="P214" s="1132" t="s">
        <v>90</v>
      </c>
      <c r="Q214" s="1099"/>
      <c r="Y214" s="1637">
        <f>$E214</f>
        <v>0</v>
      </c>
      <c r="Z214" s="1594">
        <f>$F214</f>
        <v>0</v>
      </c>
      <c r="AA214" s="1594">
        <f>$G214</f>
        <v>0</v>
      </c>
      <c r="AB214" s="1639">
        <f>$H214</f>
        <v>0</v>
      </c>
      <c r="AC214" s="1584"/>
      <c r="AD214" s="1584"/>
      <c r="AE214" s="1584"/>
      <c r="AF214" s="1585"/>
    </row>
    <row r="215" spans="1:34" ht="15.65" hidden="1" customHeight="1" x14ac:dyDescent="0.25">
      <c r="B215" s="1095"/>
      <c r="C215" s="1068" t="s">
        <v>349</v>
      </c>
      <c r="D215" s="1202"/>
      <c r="E215" s="413"/>
      <c r="F215" s="398"/>
      <c r="G215" s="366"/>
      <c r="H215" s="928"/>
      <c r="I215" s="1098"/>
      <c r="J215" s="1096"/>
      <c r="K215" s="1096"/>
      <c r="L215" s="1096"/>
      <c r="M215" s="1096"/>
      <c r="N215" s="1130"/>
      <c r="O215" s="1131">
        <f>IFERROR(AB215,'Hidden Lists and Summaries'!$C$158)</f>
        <v>0</v>
      </c>
      <c r="P215" s="1132" t="s">
        <v>90</v>
      </c>
      <c r="Q215" s="1099"/>
      <c r="Y215" s="1623">
        <f t="shared" ref="Y215:Y216" si="7">$E215</f>
        <v>0</v>
      </c>
      <c r="Z215" s="1584">
        <f t="shared" ref="Z215:Z216" si="8">$F215</f>
        <v>0</v>
      </c>
      <c r="AA215" s="1584">
        <f t="shared" ref="AA215:AA216" si="9">$G215</f>
        <v>0</v>
      </c>
      <c r="AB215" s="1585">
        <f t="shared" ref="AB215:AB216" si="10">$H215</f>
        <v>0</v>
      </c>
      <c r="AC215" s="1584"/>
      <c r="AD215" s="1584"/>
      <c r="AE215" s="1584"/>
      <c r="AF215" s="1585"/>
    </row>
    <row r="216" spans="1:34" ht="15.65" hidden="1" customHeight="1" x14ac:dyDescent="0.25">
      <c r="B216" s="1095"/>
      <c r="C216" s="470" t="s">
        <v>350</v>
      </c>
      <c r="D216" s="1202"/>
      <c r="E216" s="415"/>
      <c r="F216" s="360"/>
      <c r="G216" s="442"/>
      <c r="H216" s="929"/>
      <c r="I216" s="1098"/>
      <c r="J216" s="1096"/>
      <c r="K216" s="1096"/>
      <c r="L216" s="1096"/>
      <c r="M216" s="1096"/>
      <c r="N216" s="1130"/>
      <c r="O216" s="1139">
        <f>IFERROR(AB216,'Hidden Lists and Summaries'!$C$158)</f>
        <v>0</v>
      </c>
      <c r="P216" s="1132" t="s">
        <v>90</v>
      </c>
      <c r="Q216" s="1099"/>
      <c r="Y216" s="1653">
        <f t="shared" si="7"/>
        <v>0</v>
      </c>
      <c r="Z216" s="1610">
        <f t="shared" si="8"/>
        <v>0</v>
      </c>
      <c r="AA216" s="1610">
        <f t="shared" si="9"/>
        <v>0</v>
      </c>
      <c r="AB216" s="1655">
        <f t="shared" si="10"/>
        <v>0</v>
      </c>
      <c r="AC216" s="1584"/>
      <c r="AD216" s="1584"/>
      <c r="AE216" s="1584"/>
      <c r="AF216" s="1585"/>
    </row>
    <row r="217" spans="1:34" ht="15.65" hidden="1" customHeight="1" x14ac:dyDescent="0.25">
      <c r="B217" s="1105"/>
      <c r="C217" s="1106"/>
      <c r="D217" s="1106"/>
      <c r="E217" s="1106"/>
      <c r="F217" s="1106"/>
      <c r="G217" s="1097"/>
      <c r="H217" s="1115"/>
      <c r="I217" s="1115"/>
      <c r="J217" s="1106"/>
      <c r="K217" s="1106"/>
      <c r="L217" s="1106"/>
      <c r="M217" s="1106"/>
      <c r="N217" s="1144" t="s">
        <v>120</v>
      </c>
      <c r="O217" s="1145">
        <f>SUM(O214:O216)</f>
        <v>0</v>
      </c>
      <c r="P217" s="1146" t="s">
        <v>90</v>
      </c>
      <c r="Q217" s="1107"/>
      <c r="Y217" s="1623"/>
      <c r="Z217" s="1584"/>
      <c r="AA217" s="1584"/>
      <c r="AB217" s="1584"/>
      <c r="AC217" s="1584"/>
      <c r="AD217" s="1584"/>
      <c r="AE217" s="1584"/>
      <c r="AF217" s="1585"/>
    </row>
    <row r="218" spans="1:34" ht="15.65" customHeight="1" x14ac:dyDescent="0.25">
      <c r="B218" s="1118"/>
      <c r="C218" s="1118"/>
      <c r="D218" s="1118"/>
      <c r="E218" s="1118"/>
      <c r="F218" s="1118"/>
      <c r="G218" s="1118"/>
      <c r="H218" s="1118"/>
      <c r="I218" s="1118"/>
      <c r="J218" s="1118"/>
      <c r="K218" s="1118"/>
      <c r="L218" s="1118"/>
      <c r="M218" s="1118"/>
      <c r="N218" s="1118"/>
      <c r="O218" s="1118"/>
      <c r="P218" s="1118"/>
      <c r="Q218" s="1118"/>
      <c r="Y218" s="1623"/>
      <c r="Z218" s="1584"/>
      <c r="AA218" s="1584"/>
      <c r="AB218" s="1584"/>
      <c r="AC218" s="1584"/>
      <c r="AD218" s="1584"/>
      <c r="AE218" s="1584"/>
      <c r="AF218" s="1584"/>
      <c r="AG218" s="1584"/>
      <c r="AH218" s="1623"/>
    </row>
    <row r="219" spans="1:34" ht="15.65" customHeight="1" x14ac:dyDescent="0.25">
      <c r="A219" s="1164"/>
      <c r="B219" s="1081"/>
      <c r="C219" s="1082"/>
      <c r="D219" s="1082"/>
      <c r="E219" s="1082"/>
      <c r="F219" s="1082"/>
      <c r="G219" s="1082"/>
      <c r="H219" s="1082"/>
      <c r="I219" s="1082"/>
      <c r="J219" s="1082"/>
      <c r="K219" s="1082"/>
      <c r="L219" s="1082"/>
      <c r="M219" s="1082"/>
      <c r="N219" s="1082"/>
      <c r="O219" s="1082"/>
      <c r="P219" s="1082"/>
      <c r="Q219" s="1083"/>
      <c r="Y219" s="1623"/>
      <c r="Z219" s="1584"/>
      <c r="AA219" s="1584"/>
      <c r="AB219" s="1584"/>
      <c r="AC219" s="1584"/>
      <c r="AD219" s="1584"/>
      <c r="AE219" s="1584"/>
      <c r="AF219" s="1584"/>
      <c r="AG219" s="1584"/>
      <c r="AH219" s="1623"/>
    </row>
    <row r="220" spans="1:34" ht="15.65" customHeight="1" x14ac:dyDescent="0.25">
      <c r="A220" s="1164"/>
      <c r="B220" s="1084"/>
      <c r="C220" s="1198" t="s">
        <v>351</v>
      </c>
      <c r="D220" s="1151"/>
      <c r="E220" s="1151"/>
      <c r="F220" s="1897" t="s">
        <v>353</v>
      </c>
      <c r="G220" s="1151"/>
      <c r="H220" s="1151"/>
      <c r="I220" s="1151"/>
      <c r="J220" s="1151"/>
      <c r="K220" s="1151"/>
      <c r="L220" s="1151"/>
      <c r="M220" s="1151"/>
      <c r="N220" s="1151"/>
      <c r="O220" s="1151"/>
      <c r="P220" s="1151"/>
      <c r="Q220" s="1087"/>
      <c r="Y220" s="1623"/>
      <c r="Z220" s="1584"/>
      <c r="AA220" s="1584"/>
      <c r="AB220" s="1584"/>
      <c r="AC220" s="1584"/>
      <c r="AD220" s="1584"/>
      <c r="AE220" s="1584"/>
      <c r="AF220" s="1584"/>
      <c r="AG220" s="1584"/>
      <c r="AH220" s="1623"/>
    </row>
    <row r="221" spans="1:34" ht="15.65" customHeight="1" x14ac:dyDescent="0.25">
      <c r="A221" s="1164"/>
      <c r="B221" s="1089"/>
      <c r="C221" s="1090"/>
      <c r="D221" s="1090"/>
      <c r="E221" s="1091" t="s">
        <v>352</v>
      </c>
      <c r="F221" s="1898"/>
      <c r="G221" s="1091" t="s">
        <v>184</v>
      </c>
      <c r="H221" s="1111"/>
      <c r="I221" s="1111"/>
      <c r="J221" s="1093"/>
      <c r="K221" s="1093"/>
      <c r="L221" s="1093"/>
      <c r="M221" s="1093"/>
      <c r="N221" s="1093"/>
      <c r="O221" s="1091" t="s">
        <v>82</v>
      </c>
      <c r="P221" s="1093"/>
      <c r="Q221" s="1112"/>
      <c r="Y221" s="1623"/>
      <c r="Z221" s="1584"/>
      <c r="AA221" s="1584"/>
      <c r="AB221" s="1584"/>
      <c r="AC221" s="1584"/>
      <c r="AD221" s="1584"/>
      <c r="AE221" s="1584"/>
      <c r="AF221" s="1584"/>
      <c r="AG221" s="1584"/>
      <c r="AH221" s="1623"/>
    </row>
    <row r="222" spans="1:34" ht="15.65" customHeight="1" x14ac:dyDescent="0.25">
      <c r="A222" s="1164"/>
      <c r="B222" s="1095"/>
      <c r="C222" s="1096"/>
      <c r="D222" s="1096"/>
      <c r="E222" s="1106"/>
      <c r="F222" s="1096"/>
      <c r="G222" s="1096"/>
      <c r="H222" s="1098"/>
      <c r="I222" s="1098"/>
      <c r="J222" s="1096"/>
      <c r="K222" s="1096"/>
      <c r="L222" s="1096"/>
      <c r="M222" s="1096"/>
      <c r="N222" s="1096"/>
      <c r="O222" s="1096"/>
      <c r="P222" s="1096"/>
      <c r="Q222" s="1099"/>
      <c r="Y222" s="1787" t="s">
        <v>354</v>
      </c>
      <c r="Z222" s="1584"/>
      <c r="AA222" s="1584"/>
      <c r="AB222" s="1584"/>
      <c r="AC222" s="1584"/>
      <c r="AD222" s="1584"/>
      <c r="AE222" s="1584"/>
      <c r="AF222" s="1584"/>
      <c r="AG222" s="1585"/>
    </row>
    <row r="223" spans="1:34" ht="15.65" customHeight="1" x14ac:dyDescent="0.25">
      <c r="A223" s="1164"/>
      <c r="B223" s="1095"/>
      <c r="C223" s="1096" t="s">
        <v>355</v>
      </c>
      <c r="D223" s="1096"/>
      <c r="E223" s="572"/>
      <c r="F223" s="349"/>
      <c r="G223" s="1300" t="s">
        <v>183</v>
      </c>
      <c r="H223" s="1098"/>
      <c r="I223" s="1098"/>
      <c r="J223" s="1096"/>
      <c r="K223" s="1096"/>
      <c r="L223" s="1096"/>
      <c r="M223" s="1096"/>
      <c r="N223" s="1096"/>
      <c r="O223" s="1096"/>
      <c r="P223" s="1096"/>
      <c r="Q223" s="1099"/>
      <c r="Y223" s="1738" t="s">
        <v>116</v>
      </c>
      <c r="Z223" s="1584"/>
      <c r="AA223" s="1584"/>
      <c r="AB223" s="1584"/>
      <c r="AC223" s="1584"/>
      <c r="AD223" s="1584"/>
      <c r="AE223" s="1584"/>
      <c r="AF223" s="1584"/>
      <c r="AG223" s="1585"/>
    </row>
    <row r="224" spans="1:34" ht="15.65" customHeight="1" x14ac:dyDescent="0.25">
      <c r="A224" s="1164"/>
      <c r="B224" s="1095"/>
      <c r="C224" s="1113" t="s">
        <v>356</v>
      </c>
      <c r="D224" s="1096"/>
      <c r="E224" s="407"/>
      <c r="F224" s="571"/>
      <c r="G224" s="1301" t="s">
        <v>183</v>
      </c>
      <c r="H224" s="1098"/>
      <c r="I224" s="1098"/>
      <c r="J224" s="1096"/>
      <c r="K224" s="1096"/>
      <c r="L224" s="1096"/>
      <c r="M224" s="1096"/>
      <c r="N224" s="1182"/>
      <c r="O224" s="1183">
        <f>IF(F224="",0,IFERROR(Y224,'Hidden Lists and Summaries'!$C$158))</f>
        <v>0</v>
      </c>
      <c r="P224" s="1184" t="s">
        <v>90</v>
      </c>
      <c r="Q224" s="1099"/>
      <c r="Y224" s="1788">
        <f>F224*VLOOKUP(G224,massConv[#All],3,FALSE)</f>
        <v>0</v>
      </c>
      <c r="Z224" s="1584"/>
      <c r="AA224" s="1584"/>
      <c r="AB224" s="1584"/>
      <c r="AC224" s="1584"/>
      <c r="AD224" s="1584"/>
      <c r="AE224" s="1584"/>
      <c r="AF224" s="1584"/>
      <c r="AG224" s="1585"/>
    </row>
    <row r="225" spans="1:39" ht="15.65" customHeight="1" x14ac:dyDescent="0.25">
      <c r="A225" s="1164"/>
      <c r="B225" s="1105"/>
      <c r="C225" s="1106"/>
      <c r="D225" s="1106"/>
      <c r="E225" s="1106"/>
      <c r="F225" s="1106"/>
      <c r="G225" s="1106"/>
      <c r="H225" s="1115"/>
      <c r="I225" s="1115"/>
      <c r="J225" s="1106"/>
      <c r="K225" s="1106"/>
      <c r="L225" s="1106"/>
      <c r="M225" s="1106"/>
      <c r="N225" s="1144" t="s">
        <v>120</v>
      </c>
      <c r="O225" s="1145">
        <f>SUM(O224)</f>
        <v>0</v>
      </c>
      <c r="P225" s="1146" t="s">
        <v>90</v>
      </c>
      <c r="Q225" s="1107"/>
      <c r="Y225" s="1623"/>
      <c r="Z225" s="1584"/>
      <c r="AA225" s="1584"/>
      <c r="AB225" s="1584"/>
      <c r="AC225" s="1584"/>
      <c r="AD225" s="1584"/>
      <c r="AE225" s="1584"/>
      <c r="AF225" s="1584"/>
      <c r="AG225" s="1585"/>
    </row>
    <row r="226" spans="1:39" s="1303" customFormat="1" ht="15.65" customHeight="1" x14ac:dyDescent="0.25">
      <c r="B226" s="1304"/>
      <c r="C226" s="1304"/>
      <c r="D226" s="1304"/>
      <c r="E226" s="1304"/>
      <c r="F226" s="1304"/>
      <c r="G226" s="1304"/>
      <c r="H226" s="1305"/>
      <c r="I226" s="1305"/>
      <c r="J226" s="1304"/>
      <c r="K226" s="1304"/>
      <c r="L226" s="1304"/>
      <c r="M226" s="1304"/>
      <c r="N226" s="1306"/>
      <c r="O226" s="1304"/>
      <c r="P226" s="1304"/>
      <c r="Q226" s="1304"/>
      <c r="Y226" s="1789"/>
      <c r="Z226" s="1790"/>
      <c r="AA226" s="1790"/>
      <c r="AB226" s="1790"/>
      <c r="AC226" s="1790"/>
      <c r="AD226" s="1790"/>
      <c r="AE226" s="1790"/>
      <c r="AF226" s="1790"/>
      <c r="AG226" s="1791"/>
      <c r="AH226" s="1792"/>
      <c r="AI226" s="1792"/>
      <c r="AJ226" s="1792"/>
      <c r="AK226" s="1792"/>
      <c r="AL226" s="1792"/>
      <c r="AM226" s="1792"/>
    </row>
    <row r="227" spans="1:39" s="1303" customFormat="1" ht="15.65" customHeight="1" x14ac:dyDescent="0.25">
      <c r="B227" s="1309" t="str">
        <f>IF(H256&lt;0,"NOTE: Reductions and co-allocations exceed operational emissions. Excess reductions and Co-Allocations equivalent to " &amp; -ROUND(H256,4) &amp;"kg CO2-e","")</f>
        <v/>
      </c>
      <c r="C227" s="1304"/>
      <c r="D227" s="1304"/>
      <c r="E227" s="1304"/>
      <c r="F227" s="1304"/>
      <c r="G227" s="1304"/>
      <c r="H227" s="1305"/>
      <c r="I227" s="1305"/>
      <c r="J227" s="1304"/>
      <c r="K227" s="1304"/>
      <c r="L227" s="1304"/>
      <c r="M227" s="1304"/>
      <c r="N227" s="1306"/>
      <c r="O227" s="1304"/>
      <c r="P227" s="1304"/>
      <c r="Q227" s="1304"/>
      <c r="Y227" s="1789"/>
      <c r="Z227" s="1790"/>
      <c r="AA227" s="1790"/>
      <c r="AB227" s="1790"/>
      <c r="AC227" s="1790"/>
      <c r="AD227" s="1790"/>
      <c r="AE227" s="1790"/>
      <c r="AF227" s="1790"/>
      <c r="AG227" s="1791"/>
      <c r="AH227" s="1792"/>
      <c r="AI227" s="1792"/>
      <c r="AJ227" s="1792"/>
      <c r="AK227" s="1792"/>
      <c r="AL227" s="1792"/>
      <c r="AM227" s="1792"/>
    </row>
    <row r="228" spans="1:39" s="1303" customFormat="1" ht="15.65" customHeight="1" x14ac:dyDescent="0.25">
      <c r="B228" s="1304"/>
      <c r="C228" s="1304"/>
      <c r="D228" s="1304"/>
      <c r="E228" s="1304"/>
      <c r="F228" s="1304"/>
      <c r="G228" s="1304"/>
      <c r="H228" s="1305"/>
      <c r="I228" s="1305"/>
      <c r="J228" s="1304"/>
      <c r="K228" s="1304"/>
      <c r="L228" s="1304"/>
      <c r="M228" s="1304"/>
      <c r="N228" s="1306"/>
      <c r="O228" s="1304"/>
      <c r="P228" s="1304"/>
      <c r="Q228" s="1304"/>
      <c r="Y228" s="1789"/>
      <c r="Z228" s="1790"/>
      <c r="AA228" s="1790"/>
      <c r="AB228" s="1790"/>
      <c r="AC228" s="1790"/>
      <c r="AD228" s="1790"/>
      <c r="AE228" s="1790"/>
      <c r="AF228" s="1790"/>
      <c r="AG228" s="1791"/>
      <c r="AH228" s="1792"/>
      <c r="AI228" s="1792"/>
      <c r="AJ228" s="1792"/>
      <c r="AK228" s="1792"/>
      <c r="AL228" s="1792"/>
      <c r="AM228" s="1792"/>
    </row>
    <row r="229" spans="1:39" ht="15.65" hidden="1" customHeight="1" x14ac:dyDescent="0.25">
      <c r="B229" s="1070"/>
      <c r="C229" s="1070"/>
      <c r="D229" s="1070"/>
      <c r="E229" s="1070"/>
      <c r="F229" s="1070"/>
      <c r="G229" s="1070"/>
      <c r="H229" s="1070"/>
      <c r="I229" s="1070"/>
      <c r="J229" s="1070"/>
      <c r="K229" s="1070"/>
      <c r="L229" s="1070"/>
      <c r="M229" s="1070"/>
      <c r="N229" s="1070"/>
      <c r="O229" s="1070"/>
      <c r="P229" s="1070"/>
      <c r="Q229" s="1070"/>
      <c r="Y229" s="1623"/>
      <c r="Z229" s="1584"/>
      <c r="AA229" s="1584"/>
      <c r="AB229" s="1584"/>
      <c r="AC229" s="1584"/>
      <c r="AD229" s="1584"/>
      <c r="AE229" s="1584"/>
      <c r="AF229" s="1584"/>
      <c r="AG229" s="1585"/>
    </row>
    <row r="230" spans="1:39" ht="15.65" hidden="1" customHeight="1" x14ac:dyDescent="0.25">
      <c r="B230" s="1070"/>
      <c r="C230" s="1074" t="s">
        <v>357</v>
      </c>
      <c r="D230" s="1070"/>
      <c r="E230" s="1070"/>
      <c r="F230" s="1070"/>
      <c r="G230" s="1070"/>
      <c r="H230" s="1070"/>
      <c r="I230" s="1070"/>
      <c r="J230" s="1070"/>
      <c r="K230" s="1070"/>
      <c r="L230" s="1070"/>
      <c r="M230" s="1070"/>
      <c r="N230" s="1070"/>
      <c r="O230" s="1070"/>
      <c r="P230" s="1070"/>
      <c r="Q230" s="1070"/>
      <c r="Y230" s="1623"/>
      <c r="Z230" s="1584"/>
      <c r="AA230" s="1584"/>
      <c r="AB230" s="1584"/>
      <c r="AC230" s="1584"/>
      <c r="AD230" s="1584"/>
      <c r="AE230" s="1584"/>
      <c r="AF230" s="1584"/>
      <c r="AG230" s="1585"/>
    </row>
    <row r="231" spans="1:39" ht="15.65" hidden="1" customHeight="1" x14ac:dyDescent="0.25">
      <c r="B231" s="1070"/>
      <c r="C231" s="1070"/>
      <c r="D231" s="1070"/>
      <c r="E231" s="1070"/>
      <c r="F231" s="1070"/>
      <c r="G231" s="1070"/>
      <c r="H231" s="1070"/>
      <c r="I231" s="1070"/>
      <c r="J231" s="1070"/>
      <c r="K231" s="1070"/>
      <c r="L231" s="1070"/>
      <c r="M231" s="1070"/>
      <c r="N231" s="1070"/>
      <c r="O231" s="1070"/>
      <c r="P231" s="1070"/>
      <c r="Q231" s="1070"/>
      <c r="Y231" s="1623"/>
      <c r="Z231" s="1584"/>
      <c r="AA231" s="1584"/>
      <c r="AB231" s="1584"/>
      <c r="AC231" s="1584"/>
      <c r="AD231" s="1584"/>
      <c r="AE231" s="1584"/>
      <c r="AF231" s="1584"/>
      <c r="AG231" s="1585"/>
    </row>
    <row r="232" spans="1:39" ht="15.65" hidden="1" customHeight="1" x14ac:dyDescent="0.25">
      <c r="B232" s="1118"/>
      <c r="C232" s="1118"/>
      <c r="D232" s="1118"/>
      <c r="E232" s="1118"/>
      <c r="F232" s="1118"/>
      <c r="G232" s="1118"/>
      <c r="H232" s="1118"/>
      <c r="I232" s="1118"/>
      <c r="J232" s="1118"/>
      <c r="K232" s="1118"/>
      <c r="L232" s="1118"/>
      <c r="M232" s="1118"/>
      <c r="N232" s="1118"/>
      <c r="O232" s="1118"/>
      <c r="P232" s="1118"/>
      <c r="Q232" s="1118"/>
      <c r="Y232" s="1623"/>
      <c r="Z232" s="1584"/>
      <c r="AA232" s="1584"/>
      <c r="AB232" s="1584"/>
      <c r="AC232" s="1584"/>
      <c r="AD232" s="1584"/>
      <c r="AE232" s="1584"/>
      <c r="AF232" s="1584"/>
      <c r="AG232" s="1585"/>
    </row>
    <row r="233" spans="1:39" ht="15.65" hidden="1" customHeight="1" x14ac:dyDescent="0.25">
      <c r="B233"/>
      <c r="C233"/>
      <c r="D233"/>
      <c r="E233" s="1121" t="s">
        <v>358</v>
      </c>
      <c r="F233" s="1121" t="s">
        <v>359</v>
      </c>
      <c r="G233" s="1121" t="s">
        <v>360</v>
      </c>
      <c r="H233" s="1121" t="s">
        <v>361</v>
      </c>
      <c r="I233" s="1121" t="s">
        <v>362</v>
      </c>
      <c r="J233"/>
      <c r="K233"/>
      <c r="L233"/>
      <c r="M233"/>
      <c r="N233"/>
      <c r="O233"/>
      <c r="P233"/>
      <c r="Y233" s="1623"/>
      <c r="Z233" s="1584"/>
      <c r="AA233" s="1584"/>
      <c r="AB233" s="1584"/>
      <c r="AC233" s="1584"/>
      <c r="AD233" s="1584"/>
      <c r="AE233" s="1584"/>
      <c r="AF233" s="1584"/>
      <c r="AG233" s="1585"/>
    </row>
    <row r="234" spans="1:39" ht="15.65" hidden="1" customHeight="1" x14ac:dyDescent="0.25">
      <c r="B234"/>
      <c r="C234"/>
      <c r="D234"/>
      <c r="E234" t="s">
        <v>55</v>
      </c>
      <c r="F234" t="s">
        <v>364</v>
      </c>
      <c r="G234"/>
      <c r="H234">
        <f>IFERROR(SUMIF(gasificationEmissionsBreakdown[Major category],'Hidden Lists and Summaries'!$B$5,gasificationEmissionsBreakdown[Emissions (kg CO2-e)]), 'Hidden Lists and Summaries'!$C$158)</f>
        <v>0</v>
      </c>
      <c r="I234" t="s">
        <v>90</v>
      </c>
      <c r="N234"/>
      <c r="O234"/>
      <c r="P234"/>
      <c r="Y234" s="1623"/>
      <c r="Z234" s="1584"/>
      <c r="AA234" s="1584"/>
      <c r="AB234" s="1584"/>
      <c r="AC234" s="1584"/>
      <c r="AD234" s="1584"/>
      <c r="AE234" s="1584"/>
      <c r="AF234" s="1584"/>
      <c r="AG234" s="1585"/>
    </row>
    <row r="235" spans="1:39" ht="15.65" hidden="1" customHeight="1" x14ac:dyDescent="0.25">
      <c r="B235"/>
      <c r="C235"/>
      <c r="D235"/>
      <c r="E235" t="s">
        <v>55</v>
      </c>
      <c r="F235" t="s">
        <v>365</v>
      </c>
      <c r="G235"/>
      <c r="H235">
        <f>IFERROR(H367, 'Hidden Lists and Summaries'!$C$158)</f>
        <v>0</v>
      </c>
      <c r="I235" t="s">
        <v>90</v>
      </c>
      <c r="N235"/>
      <c r="O235"/>
      <c r="P235"/>
      <c r="Y235" s="1625"/>
      <c r="Z235" s="1820"/>
      <c r="AA235" s="1584"/>
      <c r="AB235" s="1584"/>
      <c r="AC235" s="1584"/>
      <c r="AD235" s="1584"/>
      <c r="AE235" s="1584"/>
      <c r="AF235" s="1584"/>
      <c r="AG235" s="1585"/>
    </row>
    <row r="236" spans="1:39" ht="15.65" hidden="1" customHeight="1" x14ac:dyDescent="0.25">
      <c r="B236"/>
      <c r="C236"/>
      <c r="D236"/>
      <c r="E236" t="s">
        <v>55</v>
      </c>
      <c r="F236" t="s">
        <v>366</v>
      </c>
      <c r="G236"/>
      <c r="H236">
        <f>IFERROR(H368, 'Hidden Lists and Summaries'!$C$158)</f>
        <v>0</v>
      </c>
      <c r="I236" t="s">
        <v>90</v>
      </c>
      <c r="N236"/>
      <c r="O236"/>
      <c r="P236"/>
      <c r="Y236" s="1625"/>
      <c r="Z236" s="1584"/>
      <c r="AA236" s="1584"/>
      <c r="AB236" s="1584"/>
      <c r="AC236" s="1584"/>
      <c r="AD236" s="1584"/>
      <c r="AE236" s="1584"/>
      <c r="AF236" s="1584"/>
      <c r="AG236" s="1585"/>
    </row>
    <row r="237" spans="1:39" ht="15.65" hidden="1" customHeight="1" x14ac:dyDescent="0.25">
      <c r="B237"/>
      <c r="C237"/>
      <c r="D237"/>
      <c r="E237" t="s">
        <v>55</v>
      </c>
      <c r="F237" t="s">
        <v>118</v>
      </c>
      <c r="G237"/>
      <c r="H237">
        <f>IFERROR(H369, 'Hidden Lists and Summaries'!$C$158)</f>
        <v>0</v>
      </c>
      <c r="I237" t="s">
        <v>90</v>
      </c>
      <c r="N237"/>
      <c r="O237"/>
      <c r="P237"/>
      <c r="Y237" s="1625"/>
      <c r="Z237" s="1584"/>
      <c r="AA237" s="1584"/>
      <c r="AB237" s="1584"/>
      <c r="AC237" s="1584"/>
      <c r="AD237" s="1584"/>
      <c r="AE237" s="1584"/>
      <c r="AF237" s="1584"/>
      <c r="AG237" s="1585"/>
    </row>
    <row r="238" spans="1:39" ht="15.65" hidden="1" customHeight="1" x14ac:dyDescent="0.25">
      <c r="B238"/>
      <c r="C238"/>
      <c r="D238"/>
      <c r="E238" t="s">
        <v>55</v>
      </c>
      <c r="F238" t="s">
        <v>367</v>
      </c>
      <c r="G238"/>
      <c r="H238">
        <f>IFERROR(H370, 'Hidden Lists and Summaries'!$C$158)</f>
        <v>0</v>
      </c>
      <c r="I238" t="s">
        <v>90</v>
      </c>
      <c r="N238"/>
      <c r="O238"/>
      <c r="P238"/>
      <c r="Y238" s="1625"/>
      <c r="Z238" s="1584"/>
      <c r="AA238" s="1584"/>
      <c r="AB238" s="1584"/>
      <c r="AC238" s="1584"/>
      <c r="AD238" s="1584"/>
      <c r="AE238" s="1584"/>
      <c r="AF238" s="1584"/>
      <c r="AG238" s="1585"/>
    </row>
    <row r="239" spans="1:39" ht="15.65" hidden="1" customHeight="1" x14ac:dyDescent="0.25">
      <c r="B239"/>
      <c r="C239"/>
      <c r="D239"/>
      <c r="E239" t="s">
        <v>55</v>
      </c>
      <c r="F239" t="s">
        <v>368</v>
      </c>
      <c r="G239"/>
      <c r="H239" t="str">
        <f>IFERROR(H372, 'Hidden Lists and Summaries'!$C$158)</f>
        <v>Error -  Review inputs</v>
      </c>
      <c r="I239" t="s">
        <v>90</v>
      </c>
      <c r="N239"/>
      <c r="O239"/>
      <c r="P239"/>
      <c r="Y239" s="1625"/>
      <c r="Z239" s="1584"/>
      <c r="AA239" s="1584"/>
      <c r="AB239" s="1584"/>
      <c r="AC239" s="1584"/>
      <c r="AD239" s="1584"/>
      <c r="AE239" s="1584"/>
      <c r="AF239" s="1584"/>
      <c r="AG239" s="1585"/>
    </row>
    <row r="240" spans="1:39" hidden="1" x14ac:dyDescent="0.25">
      <c r="B240"/>
      <c r="C240"/>
      <c r="D240"/>
      <c r="E240" t="s">
        <v>55</v>
      </c>
      <c r="F240" t="s">
        <v>370</v>
      </c>
      <c r="G240"/>
      <c r="H240">
        <f>IFERROR(SUM(H234:H239),'Hidden Lists and Summaries'!$C$158)</f>
        <v>0</v>
      </c>
      <c r="I240" t="s">
        <v>90</v>
      </c>
      <c r="N240"/>
      <c r="O240"/>
      <c r="P240"/>
      <c r="Y240" s="1625"/>
      <c r="Z240" s="1584"/>
      <c r="AA240" s="1584"/>
      <c r="AB240" s="1584"/>
      <c r="AC240" s="1584"/>
      <c r="AD240" s="1584"/>
      <c r="AE240" s="1584"/>
      <c r="AF240" s="1584"/>
      <c r="AG240" s="1585"/>
    </row>
    <row r="241" spans="2:34" hidden="1" x14ac:dyDescent="0.25">
      <c r="B241"/>
      <c r="C241"/>
      <c r="D241"/>
      <c r="E241" t="s">
        <v>55</v>
      </c>
      <c r="F241" t="s">
        <v>371</v>
      </c>
      <c r="G241"/>
      <c r="H241" t="str">
        <f>IFERROR(H240/(gasification_hydrogenProductionQuantity*1000),'Hidden Lists and Summaries'!$C$158)</f>
        <v>Error -  Review inputs</v>
      </c>
      <c r="I241" t="s">
        <v>372</v>
      </c>
      <c r="N241"/>
      <c r="O241"/>
      <c r="P241"/>
      <c r="Y241" s="1625"/>
      <c r="Z241" s="1584"/>
      <c r="AA241" s="1584"/>
      <c r="AB241" s="1584"/>
      <c r="AC241" s="1584"/>
      <c r="AD241" s="1584"/>
      <c r="AE241" s="1584"/>
      <c r="AF241" s="1584"/>
      <c r="AG241" s="1585"/>
    </row>
    <row r="242" spans="2:34" hidden="1" x14ac:dyDescent="0.25">
      <c r="B242"/>
      <c r="C242"/>
      <c r="D242"/>
      <c r="E242" t="s">
        <v>55</v>
      </c>
      <c r="F242" t="s">
        <v>373</v>
      </c>
      <c r="G242"/>
      <c r="H242">
        <f>IFERROR(H373,'Hidden Lists and Summaries'!$C$158)</f>
        <v>0</v>
      </c>
      <c r="I242" t="s">
        <v>90</v>
      </c>
      <c r="N242"/>
      <c r="O242"/>
      <c r="P242"/>
      <c r="Y242" s="1625"/>
      <c r="Z242" s="1584"/>
      <c r="AA242" s="1584"/>
      <c r="AB242" s="1584"/>
      <c r="AC242" s="1584"/>
      <c r="AD242" s="1584"/>
      <c r="AE242" s="1584"/>
      <c r="AF242" s="1584"/>
      <c r="AG242" s="1585"/>
    </row>
    <row r="243" spans="2:34" hidden="1" x14ac:dyDescent="0.25">
      <c r="B243"/>
      <c r="C243"/>
      <c r="D243"/>
      <c r="E243" t="s">
        <v>55</v>
      </c>
      <c r="F243" t="s">
        <v>374</v>
      </c>
      <c r="G243"/>
      <c r="H243">
        <f>IFERROR(H374,'Hidden Lists and Summaries'!$C$158)</f>
        <v>0</v>
      </c>
      <c r="I243" t="s">
        <v>90</v>
      </c>
      <c r="N243"/>
      <c r="O243"/>
      <c r="P243"/>
      <c r="Y243" s="1623"/>
      <c r="Z243" s="1584"/>
      <c r="AA243" s="1584"/>
      <c r="AB243" s="1584"/>
      <c r="AC243" s="1584"/>
      <c r="AD243" s="1584"/>
      <c r="AE243" s="1584"/>
      <c r="AF243" s="1584"/>
      <c r="AG243" s="1585"/>
    </row>
    <row r="244" spans="2:34" ht="15.65" hidden="1" customHeight="1" x14ac:dyDescent="0.25">
      <c r="B244"/>
      <c r="C244"/>
      <c r="D244"/>
      <c r="E244" t="s">
        <v>55</v>
      </c>
      <c r="F244" t="s">
        <v>375</v>
      </c>
      <c r="G244"/>
      <c r="H244">
        <f>IFERROR(H375,'Hidden Lists and Summaries'!$C$158)</f>
        <v>0</v>
      </c>
      <c r="I244" t="s">
        <v>90</v>
      </c>
      <c r="N244"/>
      <c r="O244"/>
      <c r="P244"/>
      <c r="Y244" s="1623"/>
      <c r="Z244" s="1584"/>
      <c r="AA244" s="1584"/>
      <c r="AB244" s="1584"/>
      <c r="AC244" s="1584"/>
      <c r="AD244" s="1584"/>
      <c r="AE244" s="1584"/>
      <c r="AF244" s="1584"/>
      <c r="AG244" s="1585"/>
    </row>
    <row r="245" spans="2:34" ht="15.65" hidden="1" customHeight="1" x14ac:dyDescent="0.25">
      <c r="B245"/>
      <c r="C245"/>
      <c r="D245"/>
      <c r="E245" t="s">
        <v>55</v>
      </c>
      <c r="F245" t="s">
        <v>490</v>
      </c>
      <c r="G245"/>
      <c r="H245">
        <f>IFERROR(H376,'Hidden Lists and Summaries'!$C$158)*0</f>
        <v>0</v>
      </c>
      <c r="I245" t="s">
        <v>90</v>
      </c>
      <c r="N245"/>
      <c r="O245"/>
      <c r="P245"/>
      <c r="Y245" s="1794"/>
      <c r="Z245" s="1584"/>
      <c r="AA245" s="1584"/>
      <c r="AB245" s="1584"/>
      <c r="AC245" s="1584"/>
      <c r="AD245" s="1584"/>
      <c r="AE245" s="1584"/>
      <c r="AF245" s="1584"/>
      <c r="AG245" s="1585"/>
    </row>
    <row r="246" spans="2:34" ht="15.65" hidden="1" customHeight="1" x14ac:dyDescent="0.25">
      <c r="B246"/>
      <c r="C246"/>
      <c r="D246"/>
      <c r="E246" t="s">
        <v>55</v>
      </c>
      <c r="F246" t="s">
        <v>377</v>
      </c>
      <c r="G246"/>
      <c r="H246">
        <f>IFERROR(H377,'Hidden Lists and Summaries'!$C$158)</f>
        <v>0</v>
      </c>
      <c r="I246" t="s">
        <v>90</v>
      </c>
      <c r="N246"/>
      <c r="O246"/>
      <c r="P246"/>
      <c r="Y246" s="1623"/>
      <c r="Z246" s="1584"/>
      <c r="AA246" s="1584"/>
      <c r="AB246" s="1584"/>
      <c r="AC246" s="1584"/>
      <c r="AD246" s="1584"/>
      <c r="AE246" s="1584"/>
      <c r="AF246" s="1584"/>
      <c r="AG246" s="1585"/>
    </row>
    <row r="247" spans="2:34" ht="15.65" hidden="1" customHeight="1" x14ac:dyDescent="0.25">
      <c r="B247"/>
      <c r="C247"/>
      <c r="D247"/>
      <c r="E247" t="s">
        <v>55</v>
      </c>
      <c r="F247" t="s">
        <v>378</v>
      </c>
      <c r="G247"/>
      <c r="H247">
        <f>IFERROR(H378,'Hidden Lists and Summaries'!$C$158)</f>
        <v>0</v>
      </c>
      <c r="I247" t="s">
        <v>90</v>
      </c>
      <c r="N247"/>
      <c r="O247"/>
      <c r="P247"/>
      <c r="Y247" s="1623"/>
      <c r="Z247" s="1584"/>
      <c r="AA247" s="1584"/>
      <c r="AB247" s="1584"/>
      <c r="AC247" s="1584"/>
      <c r="AD247" s="1584"/>
      <c r="AE247" s="1584"/>
      <c r="AF247" s="1584"/>
      <c r="AG247" s="1585"/>
    </row>
    <row r="248" spans="2:34" ht="15.65" hidden="1" customHeight="1" x14ac:dyDescent="0.25">
      <c r="B248"/>
      <c r="C248"/>
      <c r="D248"/>
      <c r="E248" t="s">
        <v>55</v>
      </c>
      <c r="F248" t="s">
        <v>379</v>
      </c>
      <c r="G248"/>
      <c r="H248">
        <f>IFERROR(H379,'Hidden Lists and Summaries'!$C$158)</f>
        <v>0</v>
      </c>
      <c r="I248" t="s">
        <v>90</v>
      </c>
      <c r="N248"/>
      <c r="O248"/>
      <c r="P248"/>
      <c r="Y248" s="1795"/>
      <c r="Z248" s="1584"/>
      <c r="AA248" s="1584"/>
      <c r="AB248" s="1584"/>
      <c r="AC248" s="1584"/>
      <c r="AD248" s="1584"/>
      <c r="AE248" s="1584"/>
      <c r="AF248" s="1584"/>
      <c r="AG248" s="1585"/>
    </row>
    <row r="249" spans="2:34" ht="15.65" hidden="1" customHeight="1" x14ac:dyDescent="0.25">
      <c r="B249"/>
      <c r="C249"/>
      <c r="D249"/>
      <c r="E249" t="s">
        <v>55</v>
      </c>
      <c r="F249" t="s">
        <v>380</v>
      </c>
      <c r="G249"/>
      <c r="H249">
        <f>IFERROR(H380,'Hidden Lists and Summaries'!$C$158)</f>
        <v>0</v>
      </c>
      <c r="I249" t="s">
        <v>90</v>
      </c>
      <c r="N249"/>
      <c r="O249"/>
      <c r="P249"/>
      <c r="Y249" s="1795"/>
      <c r="Z249" s="1584"/>
      <c r="AA249" s="1584"/>
      <c r="AB249" s="1584"/>
      <c r="AC249" s="1584"/>
      <c r="AD249" s="1584"/>
      <c r="AE249" s="1584"/>
      <c r="AF249" s="1584"/>
      <c r="AG249" s="1585"/>
    </row>
    <row r="250" spans="2:34" ht="15.65" hidden="1" customHeight="1" x14ac:dyDescent="0.25">
      <c r="B250"/>
      <c r="C250"/>
      <c r="D250"/>
      <c r="E250" t="s">
        <v>55</v>
      </c>
      <c r="F250" t="s">
        <v>381</v>
      </c>
      <c r="G250"/>
      <c r="H250">
        <f>IFERROR(H381,'Hidden Lists and Summaries'!$C$158)</f>
        <v>0</v>
      </c>
      <c r="I250" t="s">
        <v>90</v>
      </c>
      <c r="N250"/>
      <c r="O250"/>
      <c r="P250"/>
      <c r="X250" s="1079"/>
      <c r="Y250" s="1743"/>
      <c r="Z250" s="1584"/>
      <c r="AA250" s="1584"/>
      <c r="AB250" s="1584"/>
      <c r="AC250" s="1584"/>
      <c r="AD250" s="1584"/>
      <c r="AE250" s="1584"/>
      <c r="AF250" s="1584"/>
      <c r="AG250" s="1585"/>
      <c r="AH250" s="1584"/>
    </row>
    <row r="251" spans="2:34" hidden="1" x14ac:dyDescent="0.25">
      <c r="B251"/>
      <c r="C251"/>
      <c r="D251"/>
      <c r="E251" t="s">
        <v>55</v>
      </c>
      <c r="F251" t="s">
        <v>382</v>
      </c>
      <c r="G251"/>
      <c r="H251">
        <f>H382</f>
        <v>0</v>
      </c>
      <c r="I251" t="s">
        <v>90</v>
      </c>
      <c r="N251"/>
      <c r="O251"/>
      <c r="P251"/>
      <c r="Y251" s="1623"/>
      <c r="Z251" s="1584"/>
      <c r="AA251" s="1584"/>
      <c r="AB251" s="1584"/>
      <c r="AC251" s="1584"/>
      <c r="AD251" s="1584"/>
      <c r="AE251" s="1584"/>
      <c r="AF251" s="1584"/>
      <c r="AG251" s="1585"/>
    </row>
    <row r="252" spans="2:34" ht="15.65" hidden="1" customHeight="1" x14ac:dyDescent="0.25">
      <c r="B252"/>
      <c r="C252"/>
      <c r="D252"/>
      <c r="E252" t="s">
        <v>55</v>
      </c>
      <c r="F252" t="s">
        <v>383</v>
      </c>
      <c r="G252"/>
      <c r="H252" s="227">
        <f>H386</f>
        <v>0</v>
      </c>
      <c r="I252" t="s">
        <v>90</v>
      </c>
      <c r="N252"/>
      <c r="O252"/>
      <c r="P252"/>
      <c r="Y252" s="1623"/>
      <c r="Z252" s="1584"/>
      <c r="AA252" s="1584"/>
      <c r="AB252" s="1584"/>
      <c r="AC252" s="1584"/>
      <c r="AD252" s="1584"/>
      <c r="AE252" s="1584"/>
      <c r="AF252" s="1584"/>
      <c r="AG252" s="1585"/>
    </row>
    <row r="253" spans="2:34" ht="15.65" hidden="1" customHeight="1" x14ac:dyDescent="0.25">
      <c r="B253"/>
      <c r="C253"/>
      <c r="D253"/>
      <c r="E253" t="s">
        <v>55</v>
      </c>
      <c r="F253" t="s">
        <v>384</v>
      </c>
      <c r="G253"/>
      <c r="H253">
        <f>IFERROR(H383,'Hidden Lists and Summaries'!$C$158)</f>
        <v>0</v>
      </c>
      <c r="I253" t="s">
        <v>90</v>
      </c>
      <c r="N253"/>
      <c r="O253"/>
      <c r="P253"/>
      <c r="Y253" s="1623"/>
      <c r="Z253" s="1584"/>
      <c r="AA253" s="1584"/>
      <c r="AB253" s="1584"/>
      <c r="AC253" s="1584"/>
      <c r="AD253" s="1584"/>
      <c r="AE253" s="1584"/>
      <c r="AF253" s="1584"/>
      <c r="AG253" s="1585"/>
    </row>
    <row r="254" spans="2:34" ht="15.65" hidden="1" customHeight="1" x14ac:dyDescent="0.25">
      <c r="B254"/>
      <c r="C254"/>
      <c r="D254"/>
      <c r="E254" t="s">
        <v>55</v>
      </c>
      <c r="F254" t="s">
        <v>640</v>
      </c>
      <c r="G254"/>
      <c r="H254">
        <f>IFERROR(H240+H242-SUM(H243:H251)+H253,'Hidden Lists and Summaries'!$C$158)</f>
        <v>0</v>
      </c>
      <c r="I254" t="s">
        <v>90</v>
      </c>
      <c r="N254"/>
      <c r="O254"/>
      <c r="P254"/>
      <c r="Y254" s="1623"/>
      <c r="Z254" s="1584"/>
      <c r="AA254" s="1584"/>
      <c r="AB254" s="1584"/>
      <c r="AC254" s="1584"/>
      <c r="AD254" s="1584"/>
      <c r="AE254" s="1584"/>
      <c r="AF254" s="1584"/>
      <c r="AG254" s="1585"/>
    </row>
    <row r="255" spans="2:34" ht="15.65" hidden="1" customHeight="1" x14ac:dyDescent="0.25">
      <c r="B255"/>
      <c r="C255"/>
      <c r="D255"/>
      <c r="E255" t="s">
        <v>55</v>
      </c>
      <c r="F255" t="s">
        <v>386</v>
      </c>
      <c r="G255"/>
      <c r="H255">
        <f>IFERROR(MAX(H240+H242-SUM(H243:H251)+H253,0),'Hidden Lists and Summaries'!$C$158)</f>
        <v>0</v>
      </c>
      <c r="I255" t="s">
        <v>90</v>
      </c>
      <c r="N255"/>
      <c r="O255"/>
      <c r="P255"/>
      <c r="Y255" s="1623"/>
      <c r="Z255" s="1584"/>
      <c r="AA255" s="1584"/>
      <c r="AB255" s="1584"/>
      <c r="AC255" s="1584"/>
      <c r="AD255" s="1584"/>
      <c r="AE255" s="1584"/>
      <c r="AF255" s="1584"/>
      <c r="AG255" s="1585"/>
    </row>
    <row r="256" spans="2:34" ht="15.65" hidden="1" customHeight="1" x14ac:dyDescent="0.25">
      <c r="B256"/>
      <c r="C256"/>
      <c r="D256"/>
      <c r="E256" t="s">
        <v>55</v>
      </c>
      <c r="F256" t="s">
        <v>387</v>
      </c>
      <c r="G256"/>
      <c r="H256">
        <f>H255-H254</f>
        <v>0</v>
      </c>
      <c r="I256" t="s">
        <v>90</v>
      </c>
      <c r="N256"/>
      <c r="O256"/>
      <c r="P256"/>
      <c r="Y256" s="1623"/>
      <c r="Z256" s="1584"/>
      <c r="AA256" s="1584"/>
      <c r="AB256" s="1584"/>
      <c r="AC256" s="1584"/>
      <c r="AD256" s="1584"/>
      <c r="AE256" s="1584"/>
      <c r="AF256" s="1584"/>
      <c r="AG256" s="1585"/>
    </row>
    <row r="257" spans="2:40" ht="15.65" hidden="1" customHeight="1" x14ac:dyDescent="0.25">
      <c r="B257"/>
      <c r="C257"/>
      <c r="D257"/>
      <c r="E257" t="s">
        <v>55</v>
      </c>
      <c r="F257" t="s">
        <v>388</v>
      </c>
      <c r="G257"/>
      <c r="H257" t="str">
        <f>IFERROR(H255/(gasification_hydrogenProductionQuantity*1000),'Hidden Lists and Summaries'!$C$158)</f>
        <v>Error -  Review inputs</v>
      </c>
      <c r="I257" t="s">
        <v>372</v>
      </c>
      <c r="N257"/>
      <c r="O257"/>
      <c r="P257"/>
      <c r="Y257" s="1623"/>
      <c r="Z257" s="1584"/>
      <c r="AA257" s="1584"/>
      <c r="AB257" s="1584"/>
      <c r="AC257" s="1584"/>
      <c r="AD257" s="1584"/>
      <c r="AE257" s="1584"/>
      <c r="AF257" s="1584"/>
      <c r="AG257" s="1585"/>
    </row>
    <row r="258" spans="2:40" ht="15.65" hidden="1" customHeight="1" x14ac:dyDescent="0.25">
      <c r="B258"/>
      <c r="C258"/>
      <c r="D258"/>
      <c r="E258" t="s">
        <v>55</v>
      </c>
      <c r="F258" t="s">
        <v>389</v>
      </c>
      <c r="G258"/>
      <c r="H258" s="227">
        <f>H384</f>
        <v>0</v>
      </c>
      <c r="I258" t="s">
        <v>90</v>
      </c>
      <c r="N258"/>
      <c r="O258"/>
      <c r="P258"/>
      <c r="Y258" s="1623"/>
      <c r="Z258" s="1584"/>
      <c r="AA258" s="1584"/>
      <c r="AB258" s="1584"/>
      <c r="AC258" s="1584"/>
      <c r="AD258" s="1584"/>
      <c r="AE258" s="1584"/>
      <c r="AF258" s="1584"/>
      <c r="AG258" s="1585"/>
    </row>
    <row r="259" spans="2:40" ht="15.65" hidden="1" customHeight="1" x14ac:dyDescent="0.25">
      <c r="B259"/>
      <c r="C259"/>
      <c r="D259"/>
      <c r="E259" t="s">
        <v>55</v>
      </c>
      <c r="F259" t="s">
        <v>390</v>
      </c>
      <c r="G259"/>
      <c r="H259" s="227">
        <f>H385</f>
        <v>0</v>
      </c>
      <c r="I259" t="s">
        <v>90</v>
      </c>
      <c r="N259"/>
      <c r="O259"/>
      <c r="P259"/>
      <c r="Y259" s="1623"/>
      <c r="Z259" s="1584"/>
      <c r="AA259" s="1584"/>
      <c r="AB259" s="1584"/>
      <c r="AC259" s="1584"/>
      <c r="AD259" s="1584"/>
      <c r="AE259" s="1584"/>
      <c r="AF259" s="1584"/>
      <c r="AG259" s="1585"/>
    </row>
    <row r="260" spans="2:40" ht="15.65" hidden="1" customHeight="1" x14ac:dyDescent="0.25">
      <c r="B260"/>
      <c r="C260"/>
      <c r="D260"/>
      <c r="E260" t="s">
        <v>55</v>
      </c>
      <c r="F260" t="s">
        <v>391</v>
      </c>
      <c r="G260"/>
      <c r="H260" s="227">
        <f>SUM(H258:H259)</f>
        <v>0</v>
      </c>
      <c r="I260" t="s">
        <v>90</v>
      </c>
      <c r="N260"/>
      <c r="O260"/>
      <c r="P260"/>
      <c r="W260" s="1164"/>
      <c r="X260" s="1164"/>
      <c r="Y260" s="1743"/>
      <c r="Z260" s="1583"/>
      <c r="AA260" s="1583"/>
      <c r="AB260" s="1583"/>
      <c r="AC260" s="1583"/>
      <c r="AD260" s="1583"/>
      <c r="AE260" s="1583"/>
      <c r="AF260" s="1583"/>
      <c r="AG260" s="1744"/>
      <c r="AH260" s="1774"/>
      <c r="AI260" s="1774"/>
      <c r="AJ260" s="1774"/>
      <c r="AK260" s="1774"/>
      <c r="AL260" s="1774"/>
      <c r="AM260" s="1774"/>
      <c r="AN260" s="1164"/>
    </row>
    <row r="261" spans="2:40" ht="15.65" hidden="1" customHeight="1" x14ac:dyDescent="0.25">
      <c r="B261"/>
      <c r="C261"/>
      <c r="D261"/>
      <c r="E261" t="s">
        <v>55</v>
      </c>
      <c r="F261" t="s">
        <v>392</v>
      </c>
      <c r="G261"/>
      <c r="H261" t="e">
        <f>H260/(gasification_hydrogenProductionQuantity*1000)</f>
        <v>#N/A</v>
      </c>
      <c r="I261" t="s">
        <v>372</v>
      </c>
      <c r="N261"/>
      <c r="O261"/>
      <c r="P261"/>
      <c r="W261" s="1164"/>
      <c r="X261" s="1164"/>
      <c r="Y261" s="1743"/>
      <c r="Z261" s="1583"/>
      <c r="AA261" s="1583"/>
      <c r="AB261" s="1583"/>
      <c r="AC261" s="1583"/>
      <c r="AD261" s="1583"/>
      <c r="AE261" s="1583"/>
      <c r="AF261" s="1583"/>
      <c r="AG261" s="1744"/>
      <c r="AH261" s="1774"/>
      <c r="AI261" s="1774"/>
      <c r="AJ261" s="1774"/>
      <c r="AK261" s="1774"/>
      <c r="AL261" s="1774"/>
      <c r="AM261" s="1774"/>
      <c r="AN261" s="1164"/>
    </row>
    <row r="262" spans="2:40" ht="15.65" hidden="1" customHeight="1" x14ac:dyDescent="0.25">
      <c r="B262"/>
      <c r="C262"/>
      <c r="D262"/>
      <c r="E262" t="s">
        <v>55</v>
      </c>
      <c r="F262" t="s">
        <v>393</v>
      </c>
      <c r="G262"/>
      <c r="H262">
        <f>production_transport_and_storage_losses</f>
        <v>0</v>
      </c>
      <c r="I262" t="s">
        <v>394</v>
      </c>
      <c r="N262"/>
      <c r="O262"/>
      <c r="P262"/>
      <c r="W262" s="1164"/>
      <c r="X262" s="1164"/>
      <c r="Y262" s="1743"/>
      <c r="Z262" s="1583"/>
      <c r="AA262" s="1583"/>
      <c r="AB262" s="1583"/>
      <c r="AC262" s="1583"/>
      <c r="AD262" s="1583"/>
      <c r="AE262" s="1583"/>
      <c r="AF262" s="1583"/>
      <c r="AG262" s="1744"/>
      <c r="AH262" s="1774"/>
      <c r="AI262" s="1774"/>
      <c r="AJ262" s="1774"/>
      <c r="AK262" s="1774"/>
      <c r="AL262" s="1774"/>
      <c r="AM262" s="1774"/>
      <c r="AN262" s="1164"/>
    </row>
    <row r="263" spans="2:40" ht="15.65" hidden="1" customHeight="1" x14ac:dyDescent="0.25">
      <c r="B263"/>
      <c r="C263"/>
      <c r="D263"/>
      <c r="E263" t="s">
        <v>55</v>
      </c>
      <c r="F263" t="s">
        <v>398</v>
      </c>
      <c r="G263"/>
      <c r="H263" t="e">
        <f>gasification_hydrogenProductionQuantity*1000-H262</f>
        <v>#N/A</v>
      </c>
      <c r="I263" t="s">
        <v>394</v>
      </c>
      <c r="N263"/>
      <c r="O263"/>
      <c r="P263"/>
      <c r="W263" s="1164"/>
      <c r="X263" s="1164"/>
      <c r="Y263" s="1743"/>
      <c r="Z263" s="1583"/>
      <c r="AA263" s="1583"/>
      <c r="AB263" s="1583"/>
      <c r="AC263" s="1583"/>
      <c r="AD263" s="1583"/>
      <c r="AE263" s="1583"/>
      <c r="AF263" s="1583"/>
      <c r="AG263" s="1744"/>
      <c r="AH263" s="1774"/>
      <c r="AI263" s="1774"/>
      <c r="AJ263" s="1774"/>
      <c r="AK263" s="1774"/>
      <c r="AL263" s="1774"/>
      <c r="AM263" s="1774"/>
      <c r="AN263" s="1164"/>
    </row>
    <row r="264" spans="2:40" ht="15.65" hidden="1" customHeight="1" x14ac:dyDescent="0.25">
      <c r="B264"/>
      <c r="C264"/>
      <c r="D264"/>
      <c r="E264" t="s">
        <v>55</v>
      </c>
      <c r="F264" t="s">
        <v>395</v>
      </c>
      <c r="G264"/>
      <c r="H264" t="e">
        <f>H262/(gasification_hydrogenProductionQuantity*1000)*SUM(H241,H261)</f>
        <v>#N/A</v>
      </c>
      <c r="I264" t="s">
        <v>372</v>
      </c>
      <c r="N264"/>
      <c r="O264"/>
      <c r="P264"/>
      <c r="W264" s="1164"/>
      <c r="X264" s="1164"/>
      <c r="Y264" s="1821"/>
      <c r="Z264" s="1758"/>
      <c r="AA264" s="1758"/>
      <c r="AB264" s="1758"/>
      <c r="AC264" s="1758"/>
      <c r="AD264" s="1758"/>
      <c r="AE264" s="1758"/>
      <c r="AF264" s="1758"/>
      <c r="AG264" s="1778"/>
      <c r="AH264" s="1583"/>
      <c r="AI264" s="1583"/>
      <c r="AJ264" s="1583"/>
      <c r="AK264" s="1583"/>
      <c r="AL264" s="1583"/>
      <c r="AM264" s="1583"/>
      <c r="AN264" s="1102"/>
    </row>
    <row r="265" spans="2:40" ht="15.65" hidden="1" customHeight="1" x14ac:dyDescent="0.25">
      <c r="B265"/>
      <c r="C265"/>
      <c r="D265"/>
      <c r="E265" t="s">
        <v>55</v>
      </c>
      <c r="F265" t="s">
        <v>397</v>
      </c>
      <c r="G265"/>
      <c r="H265" t="e">
        <f>H262/(gasification_hydrogenProductionQuantity*1000)*SUM(gasification_netEmissionsIntensity,H261)</f>
        <v>#N/A</v>
      </c>
      <c r="I265" t="s">
        <v>372</v>
      </c>
      <c r="N265"/>
      <c r="O265"/>
      <c r="P265"/>
      <c r="W265" s="1164"/>
      <c r="X265" s="1164"/>
      <c r="Y265" s="1583"/>
      <c r="Z265" s="1583"/>
      <c r="AA265" s="1583"/>
      <c r="AB265" s="1583"/>
      <c r="AC265" s="1583"/>
      <c r="AD265" s="1583"/>
      <c r="AE265" s="1583"/>
      <c r="AF265" s="1583"/>
      <c r="AG265" s="1583"/>
      <c r="AH265" s="1583"/>
      <c r="AI265" s="1583"/>
      <c r="AJ265" s="1583"/>
      <c r="AK265" s="1583"/>
      <c r="AL265" s="1583"/>
      <c r="AM265" s="1583"/>
      <c r="AN265" s="1102"/>
    </row>
    <row r="266" spans="2:40" ht="15.65" hidden="1" customHeight="1" x14ac:dyDescent="0.25">
      <c r="B266"/>
      <c r="C266"/>
      <c r="D266"/>
      <c r="E266" t="s">
        <v>55</v>
      </c>
      <c r="F266" t="s">
        <v>399</v>
      </c>
      <c r="G266"/>
      <c r="H266" t="e">
        <f>SUM(H241,H261,H264)</f>
        <v>#N/A</v>
      </c>
      <c r="I266" t="s">
        <v>372</v>
      </c>
      <c r="N266"/>
      <c r="O266"/>
      <c r="P266"/>
      <c r="W266" s="1164"/>
      <c r="X266" s="1164"/>
      <c r="Y266" s="1583"/>
      <c r="Z266" s="1583"/>
      <c r="AA266" s="1583"/>
      <c r="AB266" s="1583"/>
      <c r="AC266" s="1583"/>
      <c r="AD266" s="1583"/>
      <c r="AE266" s="1583"/>
      <c r="AF266" s="1583"/>
      <c r="AG266" s="1583"/>
      <c r="AH266" s="1583"/>
      <c r="AI266" s="1583"/>
      <c r="AJ266" s="1583"/>
      <c r="AK266" s="1583"/>
      <c r="AL266" s="1583"/>
      <c r="AM266" s="1583"/>
      <c r="AN266" s="1102"/>
    </row>
    <row r="267" spans="2:40" ht="15.65" hidden="1" customHeight="1" x14ac:dyDescent="0.25">
      <c r="B267"/>
      <c r="C267"/>
      <c r="D267"/>
      <c r="E267" t="s">
        <v>55</v>
      </c>
      <c r="F267" t="s">
        <v>400</v>
      </c>
      <c r="G267"/>
      <c r="H267" t="e">
        <f>SUM(gasification_netEmissionsIntensity,H261,H265)</f>
        <v>#N/A</v>
      </c>
      <c r="I267" t="s">
        <v>372</v>
      </c>
      <c r="N267"/>
      <c r="O267"/>
      <c r="P267"/>
      <c r="W267" s="1164"/>
      <c r="X267" s="1164"/>
      <c r="Y267" s="1822"/>
      <c r="Z267" s="1822"/>
      <c r="AA267" s="1904"/>
      <c r="AB267" s="1904"/>
      <c r="AC267" s="1824"/>
      <c r="AD267" s="1823"/>
      <c r="AE267" s="1823"/>
      <c r="AF267" s="1823"/>
      <c r="AG267" s="1823"/>
      <c r="AH267" s="1823"/>
      <c r="AI267" s="1583"/>
      <c r="AJ267" s="1583"/>
      <c r="AK267" s="1583"/>
      <c r="AL267" s="1583"/>
      <c r="AM267" s="1583"/>
      <c r="AN267" s="1102"/>
    </row>
    <row r="268" spans="2:40" ht="15.65" hidden="1" customHeight="1" x14ac:dyDescent="0.25">
      <c r="B268"/>
      <c r="C268"/>
      <c r="D268"/>
      <c r="E268" t="s">
        <v>55</v>
      </c>
      <c r="F268" t="s">
        <v>401</v>
      </c>
      <c r="G268"/>
      <c r="H268">
        <f>iq_name</f>
        <v>0</v>
      </c>
      <c r="I268"/>
      <c r="N268"/>
      <c r="O268"/>
      <c r="P268"/>
      <c r="W268" s="1164"/>
      <c r="X268" s="1164"/>
      <c r="Y268" s="1583"/>
      <c r="Z268" s="1583"/>
      <c r="AA268" s="1904"/>
      <c r="AB268" s="1904"/>
      <c r="AC268" s="1583"/>
      <c r="AD268" s="1823"/>
      <c r="AE268" s="1823"/>
      <c r="AF268" s="1823"/>
      <c r="AG268" s="1823"/>
      <c r="AH268" s="1823"/>
      <c r="AI268" s="1583"/>
      <c r="AJ268" s="1583"/>
      <c r="AK268" s="1583"/>
      <c r="AL268" s="1583"/>
      <c r="AM268" s="1583"/>
      <c r="AN268" s="1102"/>
    </row>
    <row r="269" spans="2:40" ht="15.65" hidden="1" customHeight="1" x14ac:dyDescent="0.25">
      <c r="B269"/>
      <c r="C269"/>
      <c r="D269"/>
      <c r="E269" t="s">
        <v>55</v>
      </c>
      <c r="F269" t="s">
        <v>402</v>
      </c>
      <c r="G269"/>
      <c r="H269" t="str">
        <f>_xlfn.CONCAT(iq_location,", ",IF(iq_metro="Yes","Metro", "Non-Metro"))</f>
        <v>, Non-Metro</v>
      </c>
      <c r="I269"/>
      <c r="N269"/>
      <c r="O269"/>
      <c r="P269"/>
      <c r="W269" s="1164"/>
      <c r="X269" s="1164"/>
      <c r="Y269" s="1583"/>
      <c r="Z269" s="1583"/>
      <c r="AA269" s="1825"/>
      <c r="AB269" s="1583"/>
      <c r="AC269" s="1583"/>
      <c r="AD269" s="1583"/>
      <c r="AE269" s="1583"/>
      <c r="AF269" s="1583"/>
      <c r="AG269" s="1583"/>
      <c r="AH269" s="1583"/>
      <c r="AI269" s="1583"/>
      <c r="AJ269" s="1583"/>
      <c r="AK269" s="1583"/>
      <c r="AL269" s="1583"/>
      <c r="AM269" s="1583"/>
      <c r="AN269" s="1102"/>
    </row>
    <row r="270" spans="2:40" ht="15.65" hidden="1" customHeight="1" x14ac:dyDescent="0.25">
      <c r="B270"/>
      <c r="C270"/>
      <c r="D270"/>
      <c r="E270" t="s">
        <v>55</v>
      </c>
      <c r="F270" t="s">
        <v>403</v>
      </c>
      <c r="G270"/>
      <c r="H270" t="e">
        <f>gasification_annual_capacity_tonnes</f>
        <v>#N/A</v>
      </c>
      <c r="I270" t="s">
        <v>404</v>
      </c>
      <c r="N270"/>
      <c r="O270"/>
      <c r="P270"/>
      <c r="W270" s="1164"/>
      <c r="X270" s="1164"/>
      <c r="Y270" s="1583"/>
      <c r="Z270" s="1583"/>
      <c r="AA270" s="1825"/>
      <c r="AB270" s="1583"/>
      <c r="AC270" s="1583"/>
      <c r="AD270" s="1583"/>
      <c r="AE270" s="1583"/>
      <c r="AF270" s="1583"/>
      <c r="AG270" s="1583"/>
      <c r="AH270" s="1583"/>
      <c r="AI270" s="1583"/>
      <c r="AJ270" s="1583"/>
      <c r="AK270" s="1583"/>
      <c r="AL270" s="1583"/>
      <c r="AM270" s="1583"/>
      <c r="AN270" s="1102"/>
    </row>
    <row r="271" spans="2:40" ht="15.65" hidden="1" customHeight="1" x14ac:dyDescent="0.25">
      <c r="B271"/>
      <c r="C271"/>
      <c r="D271"/>
      <c r="E271" t="s">
        <v>55</v>
      </c>
      <c r="F271" t="s">
        <v>405</v>
      </c>
      <c r="G271"/>
      <c r="H271">
        <f>iq_commencement</f>
        <v>0</v>
      </c>
      <c r="I271"/>
      <c r="N271"/>
      <c r="O271"/>
      <c r="P271"/>
      <c r="W271" s="1164"/>
      <c r="X271" s="1164"/>
      <c r="Y271" s="1583"/>
      <c r="Z271" s="1583"/>
      <c r="AA271" s="1825"/>
      <c r="AB271" s="1583"/>
      <c r="AC271" s="1583"/>
      <c r="AD271" s="1583"/>
      <c r="AE271" s="1583"/>
      <c r="AF271" s="1583"/>
      <c r="AG271" s="1583"/>
      <c r="AH271" s="1583"/>
      <c r="AI271" s="1583"/>
      <c r="AJ271" s="1583"/>
      <c r="AK271" s="1583"/>
      <c r="AL271" s="1583"/>
      <c r="AM271" s="1583"/>
      <c r="AN271" s="1102"/>
    </row>
    <row r="272" spans="2:40" ht="15.65" hidden="1" customHeight="1" x14ac:dyDescent="0.25">
      <c r="B272"/>
      <c r="C272"/>
      <c r="D272"/>
      <c r="E272" t="s">
        <v>55</v>
      </c>
      <c r="F272" t="s">
        <v>406</v>
      </c>
      <c r="G272"/>
      <c r="H272" t="str" cm="1">
        <f t="array" aca="1" ref="H272" ca="1">_xlfn.TEXTAFTER(CELL("filename",I75),"]")</f>
        <v>Coal Gasification</v>
      </c>
      <c r="I272"/>
      <c r="N272"/>
      <c r="O272"/>
      <c r="P272"/>
      <c r="W272" s="1164"/>
      <c r="X272" s="1164"/>
      <c r="Y272" s="1583"/>
      <c r="Z272" s="1583"/>
      <c r="AA272" s="1583"/>
      <c r="AB272" s="1583"/>
      <c r="AC272" s="1583"/>
      <c r="AD272" s="1583"/>
      <c r="AE272" s="1583"/>
      <c r="AF272" s="1583"/>
      <c r="AG272" s="1583"/>
      <c r="AH272" s="1583"/>
      <c r="AI272" s="1583"/>
      <c r="AJ272" s="1583"/>
      <c r="AK272" s="1583"/>
      <c r="AL272" s="1583"/>
      <c r="AM272" s="1583"/>
      <c r="AN272" s="1102"/>
    </row>
    <row r="273" spans="2:40" ht="15.65" hidden="1" customHeight="1" x14ac:dyDescent="0.25">
      <c r="B273"/>
      <c r="C273"/>
      <c r="D273"/>
      <c r="E273" t="s">
        <v>55</v>
      </c>
      <c r="F273" t="s">
        <v>407</v>
      </c>
      <c r="G273"/>
      <c r="H273" t="e">
        <f>gasification_hydrogenProductionQuantity*1000</f>
        <v>#N/A</v>
      </c>
      <c r="I273"/>
      <c r="N273"/>
      <c r="O273"/>
      <c r="P273"/>
      <c r="W273" s="1164"/>
      <c r="X273" s="1164"/>
      <c r="Y273" s="1583"/>
      <c r="Z273" s="1583"/>
      <c r="AA273" s="1583"/>
      <c r="AB273" s="1583"/>
      <c r="AC273" s="1583"/>
      <c r="AD273" s="1583"/>
      <c r="AE273" s="1583"/>
      <c r="AF273" s="1583"/>
      <c r="AG273" s="1583"/>
      <c r="AH273" s="1583"/>
      <c r="AI273" s="1583"/>
      <c r="AJ273" s="1583"/>
      <c r="AK273" s="1583"/>
      <c r="AL273" s="1583"/>
      <c r="AM273" s="1583"/>
      <c r="AN273" s="1102"/>
    </row>
    <row r="274" spans="2:40" ht="15.65" hidden="1" customHeight="1" x14ac:dyDescent="0.25">
      <c r="B274"/>
      <c r="C274"/>
      <c r="D274"/>
      <c r="E274" t="s">
        <v>55</v>
      </c>
      <c r="F274" t="s">
        <v>408</v>
      </c>
      <c r="G274"/>
      <c r="H274">
        <f>E25</f>
        <v>0</v>
      </c>
      <c r="I274"/>
      <c r="N274"/>
      <c r="O274"/>
      <c r="P274"/>
      <c r="W274" s="1164"/>
      <c r="X274" s="1164"/>
      <c r="Y274" s="1583"/>
      <c r="Z274" s="1583"/>
      <c r="AA274" s="1583"/>
      <c r="AB274" s="1583"/>
      <c r="AC274" s="1583"/>
      <c r="AD274" s="1583"/>
      <c r="AE274" s="1583"/>
      <c r="AF274" s="1583"/>
      <c r="AG274" s="1583"/>
      <c r="AH274" s="1583"/>
      <c r="AI274" s="1583"/>
      <c r="AJ274" s="1583"/>
      <c r="AK274" s="1583"/>
      <c r="AL274" s="1583"/>
      <c r="AM274" s="1583"/>
      <c r="AN274" s="1102"/>
    </row>
    <row r="275" spans="2:40" ht="15.65" hidden="1" customHeight="1" x14ac:dyDescent="0.25">
      <c r="B275"/>
      <c r="C275"/>
      <c r="D275"/>
      <c r="E275" t="s">
        <v>55</v>
      </c>
      <c r="F275" t="s">
        <v>188</v>
      </c>
      <c r="G275"/>
      <c r="H275">
        <f>E26</f>
        <v>0</v>
      </c>
      <c r="I275" t="s">
        <v>409</v>
      </c>
      <c r="N275"/>
      <c r="O275"/>
      <c r="P275"/>
      <c r="W275" s="1164"/>
      <c r="X275" s="1164"/>
      <c r="Y275" s="1583"/>
      <c r="Z275" s="1583"/>
      <c r="AA275" s="1583"/>
      <c r="AB275" s="1583"/>
      <c r="AC275" s="1583"/>
      <c r="AD275" s="1583"/>
      <c r="AE275" s="1583"/>
      <c r="AF275" s="1583"/>
      <c r="AG275" s="1583"/>
      <c r="AH275" s="1583"/>
      <c r="AI275" s="1583"/>
      <c r="AJ275" s="1583"/>
      <c r="AK275" s="1583"/>
      <c r="AL275" s="1583"/>
      <c r="AM275" s="1583"/>
      <c r="AN275" s="1102"/>
    </row>
    <row r="276" spans="2:40" ht="15.65" hidden="1" customHeight="1" x14ac:dyDescent="0.25">
      <c r="B276"/>
      <c r="C276"/>
      <c r="D276"/>
      <c r="E276" t="s">
        <v>55</v>
      </c>
      <c r="F276" t="s">
        <v>410</v>
      </c>
      <c r="G276"/>
      <c r="H276">
        <f>E27</f>
        <v>0</v>
      </c>
      <c r="I276"/>
      <c r="N276"/>
      <c r="O276"/>
      <c r="P276"/>
      <c r="W276" s="1164"/>
      <c r="X276" s="1164"/>
      <c r="Y276" s="1583"/>
      <c r="Z276" s="1583"/>
      <c r="AA276" s="1583"/>
      <c r="AB276" s="1583"/>
      <c r="AC276" s="1583"/>
      <c r="AD276" s="1583"/>
      <c r="AE276" s="1583"/>
      <c r="AF276" s="1583"/>
      <c r="AG276" s="1583"/>
      <c r="AH276" s="1583"/>
      <c r="AI276" s="1583"/>
      <c r="AJ276" s="1583"/>
      <c r="AK276" s="1583"/>
      <c r="AL276" s="1583"/>
      <c r="AM276" s="1583"/>
      <c r="AN276" s="1102"/>
    </row>
    <row r="277" spans="2:40" ht="15.65" hidden="1" customHeight="1" x14ac:dyDescent="0.25">
      <c r="B277"/>
      <c r="C277"/>
      <c r="D277"/>
      <c r="E277" t="s">
        <v>55</v>
      </c>
      <c r="F277" t="s">
        <v>411</v>
      </c>
      <c r="G277"/>
      <c r="H277" t="str">
        <f>TEXT(iq_batchBegins,"dd/mm/yyy")</f>
        <v>00/01/1900</v>
      </c>
      <c r="I277"/>
      <c r="N277"/>
      <c r="O277"/>
      <c r="P277"/>
      <c r="W277" s="1164"/>
      <c r="X277" s="1164"/>
      <c r="Y277" s="1583"/>
      <c r="Z277" s="1583"/>
      <c r="AA277" s="1583"/>
      <c r="AB277" s="1583"/>
      <c r="AC277" s="1583"/>
      <c r="AD277" s="1583"/>
      <c r="AE277" s="1583"/>
      <c r="AF277" s="1583"/>
      <c r="AG277" s="1583"/>
      <c r="AH277" s="1583"/>
      <c r="AI277" s="1583"/>
      <c r="AJ277" s="1583"/>
      <c r="AK277" s="1583"/>
      <c r="AL277" s="1583"/>
      <c r="AM277" s="1583"/>
      <c r="AN277" s="1102"/>
    </row>
    <row r="278" spans="2:40" ht="15.65" hidden="1" customHeight="1" x14ac:dyDescent="0.25">
      <c r="B278"/>
      <c r="C278"/>
      <c r="D278"/>
      <c r="E278" t="s">
        <v>55</v>
      </c>
      <c r="F278" t="s">
        <v>412</v>
      </c>
      <c r="G278"/>
      <c r="H278" t="str">
        <f>TEXT(iq_batchEnd,"dd/mm/yyyy")</f>
        <v>00/01/1900</v>
      </c>
      <c r="I278"/>
      <c r="N278"/>
      <c r="O278"/>
      <c r="P278"/>
      <c r="W278" s="1164"/>
      <c r="X278" s="1164"/>
      <c r="Y278" s="1583"/>
      <c r="Z278" s="1583"/>
      <c r="AA278" s="1583"/>
      <c r="AB278" s="1583"/>
      <c r="AC278" s="1583"/>
      <c r="AD278" s="1583"/>
      <c r="AE278" s="1583"/>
      <c r="AF278" s="1583"/>
      <c r="AG278" s="1583"/>
      <c r="AH278" s="1583"/>
      <c r="AI278" s="1583"/>
      <c r="AJ278" s="1583"/>
      <c r="AK278" s="1583"/>
      <c r="AL278" s="1583"/>
      <c r="AM278" s="1583"/>
      <c r="AN278" s="1102"/>
    </row>
    <row r="279" spans="2:40" ht="15.65" hidden="1" customHeight="1" x14ac:dyDescent="0.25">
      <c r="B279"/>
      <c r="C279"/>
      <c r="D279"/>
      <c r="E279" t="s">
        <v>55</v>
      </c>
      <c r="F279" t="s">
        <v>413</v>
      </c>
      <c r="G279"/>
      <c r="H279" t="e">
        <f>gasification_hydrogenProductionQuantity*1000</f>
        <v>#N/A</v>
      </c>
      <c r="I279" t="s">
        <v>394</v>
      </c>
      <c r="N279"/>
      <c r="O279"/>
      <c r="P279"/>
      <c r="W279" s="1164"/>
      <c r="X279" s="1164"/>
      <c r="Y279" s="1583"/>
      <c r="Z279" s="1583"/>
      <c r="AA279" s="1583"/>
      <c r="AB279" s="1583"/>
      <c r="AC279" s="1583"/>
      <c r="AD279" s="1583"/>
      <c r="AE279" s="1583"/>
      <c r="AF279" s="1583"/>
      <c r="AG279" s="1583"/>
      <c r="AH279" s="1583"/>
      <c r="AI279" s="1583"/>
      <c r="AJ279" s="1583"/>
      <c r="AK279" s="1583"/>
      <c r="AL279" s="1583"/>
      <c r="AM279" s="1583"/>
      <c r="AN279" s="1102"/>
    </row>
    <row r="280" spans="2:40" ht="15.65" hidden="1" customHeight="1" x14ac:dyDescent="0.25">
      <c r="B280"/>
      <c r="C280"/>
      <c r="D280"/>
      <c r="E280" t="s">
        <v>55</v>
      </c>
      <c r="F280" t="s">
        <v>414</v>
      </c>
      <c r="G280"/>
      <c r="H280" cm="1">
        <f t="array" aca="1" ref="H280" ca="1">overall_totalImportedElectricity*VLOOKUP(_xlfn.TEXTAFTER(CELL("filename",$A$1),"]"),ElectricityPortionsByPathwayTable[],2,FALSE)</f>
        <v>0</v>
      </c>
      <c r="I280" t="s">
        <v>415</v>
      </c>
      <c r="N280"/>
      <c r="O280"/>
      <c r="P280"/>
      <c r="W280" s="1164"/>
      <c r="X280" s="1164"/>
      <c r="Y280" s="1583"/>
      <c r="Z280" s="1583"/>
      <c r="AA280" s="1583"/>
      <c r="AB280" s="1583"/>
      <c r="AC280" s="1583"/>
      <c r="AD280" s="1583"/>
      <c r="AE280" s="1583"/>
      <c r="AF280" s="1583"/>
      <c r="AG280" s="1583"/>
      <c r="AH280" s="1583"/>
      <c r="AI280" s="1583"/>
      <c r="AJ280" s="1583"/>
      <c r="AK280" s="1583"/>
      <c r="AL280" s="1583"/>
      <c r="AM280" s="1583"/>
      <c r="AN280" s="1102"/>
    </row>
    <row r="281" spans="2:40" ht="15.65" hidden="1" customHeight="1" x14ac:dyDescent="0.25">
      <c r="B281"/>
      <c r="C281"/>
      <c r="D281"/>
      <c r="E281" t="s">
        <v>55</v>
      </c>
      <c r="F281" t="s">
        <v>416</v>
      </c>
      <c r="G281"/>
      <c r="H281" t="e">
        <f>overall_LocationEF</f>
        <v>#N/A</v>
      </c>
      <c r="I281" t="s">
        <v>569</v>
      </c>
      <c r="N281"/>
      <c r="O281"/>
      <c r="P281"/>
      <c r="W281" s="1164"/>
      <c r="X281" s="1164"/>
      <c r="Y281" s="1583"/>
      <c r="Z281" s="1583"/>
      <c r="AA281" s="1583"/>
      <c r="AB281" s="1583"/>
      <c r="AC281" s="1583"/>
      <c r="AD281" s="1583"/>
      <c r="AE281" s="1583"/>
      <c r="AF281" s="1583"/>
      <c r="AG281" s="1583"/>
      <c r="AH281" s="1583"/>
      <c r="AI281" s="1583"/>
      <c r="AJ281" s="1583"/>
      <c r="AK281" s="1583"/>
      <c r="AL281" s="1583"/>
      <c r="AM281" s="1583"/>
      <c r="AN281" s="1102"/>
    </row>
    <row r="282" spans="2:40" ht="15.65" hidden="1" customHeight="1" x14ac:dyDescent="0.25">
      <c r="B282"/>
      <c r="C282"/>
      <c r="D282"/>
      <c r="E282" t="s">
        <v>55</v>
      </c>
      <c r="F282" t="s">
        <v>145</v>
      </c>
      <c r="G282"/>
      <c r="H282" s="227">
        <f>AB52</f>
        <v>0</v>
      </c>
      <c r="I282" t="s">
        <v>409</v>
      </c>
      <c r="N282"/>
      <c r="O282"/>
      <c r="P282"/>
      <c r="W282" s="1164"/>
      <c r="X282" s="1164"/>
      <c r="Y282" s="1583"/>
      <c r="Z282" s="1583"/>
      <c r="AA282" s="1583"/>
      <c r="AB282" s="1583"/>
      <c r="AC282" s="1583"/>
      <c r="AD282" s="1583"/>
      <c r="AE282" s="1583"/>
      <c r="AF282" s="1583"/>
      <c r="AG282" s="1583"/>
      <c r="AH282" s="1583"/>
      <c r="AI282" s="1583"/>
      <c r="AJ282" s="1583"/>
      <c r="AK282" s="1583"/>
      <c r="AL282" s="1583"/>
      <c r="AM282" s="1583"/>
      <c r="AN282" s="1102"/>
    </row>
    <row r="283" spans="2:40" ht="15.65" hidden="1" customHeight="1" x14ac:dyDescent="0.25">
      <c r="B283"/>
      <c r="C283"/>
      <c r="D283"/>
      <c r="E283" t="s">
        <v>55</v>
      </c>
      <c r="F283" t="s">
        <v>98</v>
      </c>
      <c r="G283"/>
      <c r="H283" cm="1">
        <f t="array" aca="1" ref="H283" ca="1">'Electricity Usage'!$S22*VLOOKUP(_xlfn.TEXTAFTER(CELL("filename",$A$1),"]"),ElectricityPortionsByPathwayTable[],2,FALSE)</f>
        <v>0</v>
      </c>
      <c r="I283" t="s">
        <v>415</v>
      </c>
      <c r="N283"/>
      <c r="O283"/>
      <c r="P283"/>
      <c r="W283" s="1164"/>
      <c r="X283" s="1164"/>
      <c r="Y283" s="1583"/>
      <c r="Z283" s="1583"/>
      <c r="AA283" s="1583"/>
      <c r="AB283" s="1583"/>
      <c r="AC283" s="1583"/>
      <c r="AD283" s="1583"/>
      <c r="AE283" s="1583"/>
      <c r="AF283" s="1583"/>
      <c r="AG283" s="1583"/>
      <c r="AH283" s="1583"/>
      <c r="AI283" s="1583"/>
      <c r="AJ283" s="1583"/>
      <c r="AK283" s="1583"/>
      <c r="AL283" s="1583"/>
      <c r="AM283" s="1583"/>
      <c r="AN283" s="1102"/>
    </row>
    <row r="284" spans="2:40" ht="15.65" hidden="1" customHeight="1" x14ac:dyDescent="0.25">
      <c r="B284"/>
      <c r="C284"/>
      <c r="D284"/>
      <c r="E284" t="s">
        <v>55</v>
      </c>
      <c r="F284" t="s">
        <v>99</v>
      </c>
      <c r="G284"/>
      <c r="H284" cm="1">
        <f t="array" aca="1" ref="H284" ca="1">'Electricity Usage'!$S23*VLOOKUP(_xlfn.TEXTAFTER(CELL("filename",$A$1),"]"),ElectricityPortionsByPathwayTable[],2,FALSE)</f>
        <v>0</v>
      </c>
      <c r="I284" t="s">
        <v>415</v>
      </c>
      <c r="N284"/>
      <c r="O284"/>
      <c r="P284"/>
      <c r="W284" s="1164"/>
      <c r="X284" s="1164"/>
      <c r="Y284" s="1583"/>
      <c r="Z284" s="1583"/>
      <c r="AA284" s="1583"/>
      <c r="AB284" s="1583"/>
      <c r="AC284" s="1583"/>
      <c r="AD284" s="1583"/>
      <c r="AE284" s="1583"/>
      <c r="AF284" s="1583"/>
      <c r="AG284" s="1583"/>
      <c r="AH284" s="1583"/>
      <c r="AI284" s="1583"/>
      <c r="AJ284" s="1583"/>
      <c r="AK284" s="1583"/>
      <c r="AL284" s="1583"/>
      <c r="AM284" s="1583"/>
      <c r="AN284" s="1102"/>
    </row>
    <row r="285" spans="2:40" ht="15.65" hidden="1" customHeight="1" x14ac:dyDescent="0.25">
      <c r="B285"/>
      <c r="C285"/>
      <c r="D285"/>
      <c r="E285" t="s">
        <v>55</v>
      </c>
      <c r="F285" t="s">
        <v>100</v>
      </c>
      <c r="G285"/>
      <c r="H285" cm="1">
        <f t="array" aca="1" ref="H285" ca="1">'Electricity Usage'!$S24*VLOOKUP(_xlfn.TEXTAFTER(CELL("filename",$A$1),"]"),ElectricityPortionsByPathwayTable[],2,FALSE)</f>
        <v>0</v>
      </c>
      <c r="I285" t="s">
        <v>415</v>
      </c>
      <c r="N285"/>
      <c r="O285"/>
      <c r="P285"/>
      <c r="W285" s="1164"/>
      <c r="X285" s="1164"/>
      <c r="Y285" s="1905"/>
      <c r="Z285" s="1905"/>
      <c r="AA285" s="1583"/>
      <c r="AB285" s="1827"/>
      <c r="AC285" s="1828"/>
      <c r="AD285" s="1583"/>
      <c r="AE285" s="1583"/>
      <c r="AF285" s="1583"/>
      <c r="AG285" s="1583"/>
      <c r="AH285" s="1583"/>
      <c r="AI285" s="1583"/>
      <c r="AJ285" s="1583"/>
      <c r="AK285" s="1583"/>
      <c r="AL285" s="1583"/>
      <c r="AM285" s="1583"/>
      <c r="AN285" s="1102"/>
    </row>
    <row r="286" spans="2:40" ht="15.65" hidden="1" customHeight="1" x14ac:dyDescent="0.25">
      <c r="B286"/>
      <c r="C286"/>
      <c r="D286"/>
      <c r="E286" t="s">
        <v>55</v>
      </c>
      <c r="F286" t="s">
        <v>101</v>
      </c>
      <c r="G286"/>
      <c r="H286" cm="1">
        <f t="array" aca="1" ref="H286" ca="1">'Electricity Usage'!$S25*VLOOKUP(_xlfn.TEXTAFTER(CELL("filename",$A$1),"]"),ElectricityPortionsByPathwayTable[],2,FALSE)</f>
        <v>0</v>
      </c>
      <c r="I286" t="s">
        <v>415</v>
      </c>
      <c r="N286"/>
      <c r="O286"/>
      <c r="P286"/>
      <c r="W286" s="1164"/>
      <c r="X286" s="1164"/>
      <c r="Y286" s="1826"/>
      <c r="Z286" s="1826"/>
      <c r="AA286" s="1583"/>
      <c r="AB286" s="1827"/>
      <c r="AC286" s="1828"/>
      <c r="AD286" s="1583"/>
      <c r="AE286" s="1583"/>
      <c r="AF286" s="1583"/>
      <c r="AG286" s="1583"/>
      <c r="AH286" s="1583"/>
      <c r="AI286" s="1583"/>
      <c r="AJ286" s="1583"/>
      <c r="AK286" s="1583"/>
      <c r="AL286" s="1583"/>
      <c r="AM286" s="1583"/>
      <c r="AN286" s="1102"/>
    </row>
    <row r="287" spans="2:40" ht="15.65" hidden="1" customHeight="1" x14ac:dyDescent="0.25">
      <c r="B287"/>
      <c r="C287"/>
      <c r="D287"/>
      <c r="E287" t="s">
        <v>55</v>
      </c>
      <c r="F287" t="s">
        <v>418</v>
      </c>
      <c r="G287"/>
      <c r="H287" cm="1">
        <f t="array" aca="1" ref="H287" ca="1">overall_residualElectricity*VLOOKUP(_xlfn.TEXTAFTER(CELL("filename",A64),"]"),ElectricityPortionsByPathwayTable[],2,FALSE)</f>
        <v>0</v>
      </c>
      <c r="I287" t="s">
        <v>415</v>
      </c>
      <c r="N287"/>
      <c r="O287"/>
      <c r="P287"/>
      <c r="W287" s="1164"/>
      <c r="X287" s="1164"/>
      <c r="Y287" s="1826"/>
      <c r="Z287" s="1826"/>
      <c r="AA287" s="1583"/>
      <c r="AB287" s="1827"/>
      <c r="AC287" s="1828"/>
      <c r="AD287" s="1583"/>
      <c r="AE287" s="1583"/>
      <c r="AF287" s="1583"/>
      <c r="AG287" s="1583"/>
      <c r="AH287" s="1583"/>
      <c r="AI287" s="1583"/>
      <c r="AJ287" s="1583"/>
      <c r="AK287" s="1583"/>
      <c r="AL287" s="1583"/>
      <c r="AM287" s="1583"/>
      <c r="AN287" s="1102"/>
    </row>
    <row r="288" spans="2:40" ht="15.65" hidden="1" customHeight="1" x14ac:dyDescent="0.25">
      <c r="B288"/>
      <c r="C288"/>
      <c r="D288"/>
      <c r="E288" t="s">
        <v>55</v>
      </c>
      <c r="F288" t="s">
        <v>419</v>
      </c>
      <c r="G288"/>
      <c r="H288">
        <f>overall_MarketEF</f>
        <v>0.95499999999999996</v>
      </c>
      <c r="I288" t="s">
        <v>569</v>
      </c>
      <c r="N288"/>
      <c r="O288"/>
      <c r="P288"/>
      <c r="W288" s="1164"/>
      <c r="X288" s="1164"/>
      <c r="Y288" s="1826"/>
      <c r="Z288" s="1826"/>
      <c r="AA288" s="1583"/>
      <c r="AB288" s="1827"/>
      <c r="AC288" s="1828"/>
      <c r="AD288" s="1583"/>
      <c r="AE288" s="1583"/>
      <c r="AF288" s="1583"/>
      <c r="AG288" s="1583"/>
      <c r="AH288" s="1583"/>
      <c r="AI288" s="1583"/>
      <c r="AJ288" s="1583"/>
      <c r="AK288" s="1583"/>
      <c r="AL288" s="1583"/>
      <c r="AM288" s="1583"/>
      <c r="AN288" s="1102"/>
    </row>
    <row r="289" spans="2:44" hidden="1" x14ac:dyDescent="0.25">
      <c r="B289"/>
      <c r="C289"/>
      <c r="D289"/>
      <c r="E289" t="s">
        <v>55</v>
      </c>
      <c r="F289" t="s">
        <v>420</v>
      </c>
      <c r="G289"/>
      <c r="H289" cm="1">
        <f t="array" aca="1" ref="H289" ca="1">overall_totalOnsiteElecGen*VLOOKUP(_xlfn.TEXTAFTER(CELL("filename",$A$1),"]"),ElectricityPortionsByPathwayTable[],2,FALSE)</f>
        <v>0</v>
      </c>
      <c r="I289" t="s">
        <v>415</v>
      </c>
      <c r="N289"/>
      <c r="O289"/>
      <c r="P289"/>
      <c r="W289" s="1164"/>
      <c r="X289" s="1164"/>
      <c r="Y289" s="1829"/>
      <c r="Z289" s="1829"/>
      <c r="AA289" s="1906"/>
      <c r="AB289" s="1906"/>
      <c r="AC289" s="1799"/>
      <c r="AD289" s="1830"/>
      <c r="AE289" s="1830"/>
      <c r="AF289" s="1823"/>
      <c r="AG289" s="1823"/>
      <c r="AH289" s="1823"/>
      <c r="AI289" s="1583"/>
      <c r="AJ289" s="1583"/>
      <c r="AK289" s="1583"/>
      <c r="AL289" s="1583"/>
      <c r="AM289" s="1583"/>
      <c r="AN289" s="1102"/>
    </row>
    <row r="290" spans="2:44" hidden="1" x14ac:dyDescent="0.25">
      <c r="B290"/>
      <c r="C290"/>
      <c r="D290"/>
      <c r="E290" t="s">
        <v>55</v>
      </c>
      <c r="F290" t="s">
        <v>421</v>
      </c>
      <c r="G290"/>
      <c r="H290" t="e">
        <f>overall_onsiteGenEF</f>
        <v>#DIV/0!</v>
      </c>
      <c r="I290" t="s">
        <v>569</v>
      </c>
      <c r="N290"/>
      <c r="O290"/>
      <c r="P290"/>
      <c r="W290" s="1164"/>
      <c r="X290" s="1164"/>
      <c r="Y290" s="1829"/>
      <c r="Z290" s="1829"/>
      <c r="AA290" s="1906"/>
      <c r="AB290" s="1906"/>
      <c r="AC290" s="1601"/>
      <c r="AD290" s="1830"/>
      <c r="AE290" s="1830"/>
      <c r="AF290" s="1823"/>
      <c r="AG290" s="1823"/>
      <c r="AH290" s="1823"/>
      <c r="AI290" s="1583"/>
      <c r="AJ290" s="1583"/>
      <c r="AK290" s="1583"/>
      <c r="AL290" s="1583"/>
      <c r="AM290" s="1583"/>
      <c r="AN290" s="1102"/>
    </row>
    <row r="291" spans="2:44" hidden="1" x14ac:dyDescent="0.25">
      <c r="B291"/>
      <c r="C291"/>
      <c r="D291"/>
      <c r="E291" t="s">
        <v>55</v>
      </c>
      <c r="F291" t="s">
        <v>422</v>
      </c>
      <c r="G291"/>
      <c r="H291"/>
      <c r="I291"/>
      <c r="N291"/>
      <c r="O291"/>
      <c r="P291"/>
      <c r="W291" s="1164"/>
      <c r="X291" s="1164"/>
      <c r="Y291" s="1905"/>
      <c r="Z291" s="1905"/>
      <c r="AA291" s="1583"/>
      <c r="AB291" s="1827"/>
      <c r="AC291" s="1828"/>
      <c r="AD291" s="1823"/>
      <c r="AE291" s="1823"/>
      <c r="AF291" s="1823"/>
      <c r="AG291" s="1823"/>
      <c r="AH291" s="1823"/>
      <c r="AI291" s="1583"/>
      <c r="AJ291" s="1583"/>
      <c r="AK291" s="1583"/>
      <c r="AL291" s="1583"/>
      <c r="AM291" s="1583"/>
      <c r="AN291" s="1102"/>
    </row>
    <row r="292" spans="2:44" hidden="1" x14ac:dyDescent="0.25">
      <c r="B292"/>
      <c r="C292"/>
      <c r="D292"/>
      <c r="E292" t="s">
        <v>55</v>
      </c>
      <c r="F292" t="s">
        <v>423</v>
      </c>
      <c r="G292" t="str">
        <f>IF('Coal Gasification'!$E34&lt;&gt;"",'Coal Gasification'!$E34,"")</f>
        <v/>
      </c>
      <c r="H292" t="str">
        <f>IFERROR(IF('Coal Gasification'!$AB34&lt;&gt;"",'Coal Gasification'!$AB34,""),"")</f>
        <v/>
      </c>
      <c r="I292" t="e">
        <f>O34/AB34</f>
        <v>#N/A</v>
      </c>
      <c r="N292"/>
      <c r="O292"/>
      <c r="P292"/>
      <c r="W292" s="1164"/>
      <c r="X292" s="1164"/>
      <c r="Y292" s="1903"/>
      <c r="Z292" s="1903"/>
      <c r="AA292" s="1583"/>
      <c r="AB292" s="1827"/>
      <c r="AC292" s="1828"/>
      <c r="AD292" s="1823"/>
      <c r="AE292" s="1823"/>
      <c r="AF292" s="1823"/>
      <c r="AG292" s="1823"/>
      <c r="AH292" s="1823"/>
      <c r="AI292" s="1583"/>
      <c r="AJ292" s="1583"/>
      <c r="AK292" s="1583"/>
      <c r="AL292" s="1774"/>
      <c r="AM292" s="1774"/>
      <c r="AN292" s="1164"/>
    </row>
    <row r="293" spans="2:44" hidden="1" x14ac:dyDescent="0.25">
      <c r="B293"/>
      <c r="C293"/>
      <c r="D293"/>
      <c r="E293" t="s">
        <v>55</v>
      </c>
      <c r="F293" t="s">
        <v>424</v>
      </c>
      <c r="G293" t="str">
        <f>IF('Coal Gasification'!$E35&lt;&gt;"",'Coal Gasification'!$E35,"")</f>
        <v/>
      </c>
      <c r="H293" t="str">
        <f>IFERROR(IF('Coal Gasification'!$AB35&lt;&gt;"",'Coal Gasification'!$AB35,""),"")</f>
        <v/>
      </c>
      <c r="I293" t="e">
        <f>O35/AB35</f>
        <v>#N/A</v>
      </c>
      <c r="N293"/>
      <c r="O293"/>
      <c r="P293"/>
      <c r="W293" s="1164"/>
      <c r="X293" s="1164"/>
      <c r="Y293" s="1774"/>
      <c r="Z293" s="1774"/>
      <c r="AA293" s="1774"/>
      <c r="AB293" s="1831"/>
      <c r="AC293" s="1774"/>
      <c r="AD293" s="1823"/>
      <c r="AE293" s="1823"/>
      <c r="AF293" s="1823"/>
      <c r="AG293" s="1823"/>
      <c r="AH293" s="1823"/>
      <c r="AI293" s="1583"/>
      <c r="AJ293" s="1774"/>
      <c r="AK293" s="1774"/>
      <c r="AL293" s="1774"/>
      <c r="AM293" s="1774"/>
      <c r="AN293" s="1164"/>
    </row>
    <row r="294" spans="2:44" s="1164" customFormat="1" hidden="1" x14ac:dyDescent="0.25">
      <c r="B294"/>
      <c r="C294"/>
      <c r="D294"/>
      <c r="E294" t="s">
        <v>55</v>
      </c>
      <c r="F294" t="s">
        <v>425</v>
      </c>
      <c r="G294" t="str">
        <f>IF('Coal Gasification'!$E36&lt;&gt;"",'Coal Gasification'!$E36,"")</f>
        <v/>
      </c>
      <c r="H294" t="str">
        <f>IFERROR(IF('Coal Gasification'!$AB36&lt;&gt;"",'Coal Gasification'!$AB36,""),"")</f>
        <v/>
      </c>
      <c r="I294" t="e">
        <f>O36/AB36</f>
        <v>#N/A</v>
      </c>
      <c r="N294"/>
      <c r="O294"/>
      <c r="P294"/>
      <c r="X294" s="1234"/>
      <c r="Y294" s="1601"/>
      <c r="Z294" s="1601"/>
      <c r="AA294" s="1601"/>
      <c r="AB294" s="1601"/>
      <c r="AC294" s="1601"/>
      <c r="AD294" s="1601"/>
      <c r="AE294" s="1601"/>
      <c r="AF294" s="1601"/>
      <c r="AG294" s="1601"/>
      <c r="AH294" s="1601"/>
      <c r="AI294" s="1601"/>
      <c r="AJ294" s="1601"/>
      <c r="AK294" s="1601"/>
      <c r="AL294" s="1601"/>
      <c r="AM294" s="1601"/>
      <c r="AN294" s="1234"/>
      <c r="AO294" s="1234"/>
      <c r="AP294" s="1234"/>
      <c r="AQ294" s="1234"/>
      <c r="AR294" s="1234"/>
    </row>
    <row r="295" spans="2:44" hidden="1" x14ac:dyDescent="0.25">
      <c r="B295"/>
      <c r="C295"/>
      <c r="D295"/>
      <c r="E295" t="s">
        <v>55</v>
      </c>
      <c r="F295" t="s">
        <v>426</v>
      </c>
      <c r="G295" s="227">
        <f>E43</f>
        <v>0</v>
      </c>
      <c r="H295" s="227" t="e">
        <f>'Coal Gasification'!AB43*VLOOKUP("m3",Table13[],2,FALSE)</f>
        <v>#N/A</v>
      </c>
      <c r="I295" t="e">
        <f>'Coal Gasification'!O43/('Coal Gasification'!AB43*VLOOKUP("m3",Table13[],2,FALSE))</f>
        <v>#N/A</v>
      </c>
      <c r="N295"/>
      <c r="O295"/>
      <c r="P295"/>
      <c r="X295" s="1234"/>
      <c r="Y295" s="1601"/>
      <c r="Z295" s="1601"/>
      <c r="AA295" s="1601"/>
      <c r="AB295" s="1601"/>
      <c r="AC295" s="1601"/>
      <c r="AD295" s="1601"/>
      <c r="AE295" s="1601"/>
      <c r="AF295" s="1601"/>
      <c r="AG295" s="1601"/>
      <c r="AH295" s="1601"/>
      <c r="AI295" s="1601"/>
      <c r="AJ295" s="1601"/>
      <c r="AK295" s="1601"/>
      <c r="AL295" s="1601"/>
      <c r="AM295" s="1601"/>
      <c r="AN295" s="1234"/>
      <c r="AO295" s="1234"/>
      <c r="AP295" s="1234"/>
      <c r="AQ295" s="1234"/>
      <c r="AR295" s="1234"/>
    </row>
    <row r="296" spans="2:44" hidden="1" x14ac:dyDescent="0.25">
      <c r="B296"/>
      <c r="C296"/>
      <c r="D296"/>
      <c r="E296" t="s">
        <v>55</v>
      </c>
      <c r="F296" t="s">
        <v>428</v>
      </c>
      <c r="G296" t="str">
        <f>IF('Coal Gasification'!$E69&lt;&gt;"",'Coal Gasification'!$E69,"")</f>
        <v/>
      </c>
      <c r="H296" t="str">
        <f>IFERROR(IF('Coal Gasification'!$Y69&lt;&gt;"",'Coal Gasification'!$Y69,""),"")</f>
        <v/>
      </c>
      <c r="I296" t="e">
        <f>AD69</f>
        <v>#N/A</v>
      </c>
      <c r="N296"/>
      <c r="O296"/>
      <c r="P296"/>
      <c r="X296" s="1234"/>
      <c r="Y296" s="1601"/>
      <c r="Z296" s="1601"/>
      <c r="AA296" s="1601"/>
      <c r="AB296" s="1601"/>
      <c r="AC296" s="1601"/>
      <c r="AD296" s="1601"/>
      <c r="AE296" s="1601"/>
      <c r="AF296" s="1601"/>
      <c r="AG296" s="1601"/>
      <c r="AH296" s="1601"/>
      <c r="AI296" s="1601"/>
      <c r="AJ296" s="1601"/>
      <c r="AK296" s="1601"/>
      <c r="AL296" s="1601"/>
      <c r="AM296" s="1601"/>
      <c r="AN296" s="1234"/>
      <c r="AO296" s="1234"/>
      <c r="AP296" s="1234"/>
      <c r="AQ296" s="1234"/>
      <c r="AR296" s="1234"/>
    </row>
    <row r="297" spans="2:44" hidden="1" x14ac:dyDescent="0.25">
      <c r="B297"/>
      <c r="C297"/>
      <c r="D297"/>
      <c r="E297" t="s">
        <v>55</v>
      </c>
      <c r="F297" t="s">
        <v>429</v>
      </c>
      <c r="G297" t="str">
        <f>IF('Coal Gasification'!$E70&lt;&gt;"",'Coal Gasification'!$E70,"")</f>
        <v/>
      </c>
      <c r="H297" t="str">
        <f>IFERROR(IF('Coal Gasification'!$Y70&lt;&gt;"",'Coal Gasification'!$Y70,""),"")</f>
        <v/>
      </c>
      <c r="I297" t="e">
        <f>AD70</f>
        <v>#N/A</v>
      </c>
      <c r="N297"/>
      <c r="O297"/>
      <c r="P297"/>
      <c r="X297" s="1234"/>
      <c r="Y297" s="1601"/>
      <c r="Z297" s="1601"/>
      <c r="AA297" s="1601"/>
      <c r="AB297" s="1601"/>
      <c r="AC297" s="1601"/>
      <c r="AD297" s="1601"/>
      <c r="AE297" s="1601"/>
      <c r="AF297" s="1601"/>
      <c r="AG297" s="1601"/>
      <c r="AH297" s="1601"/>
      <c r="AI297" s="1601"/>
      <c r="AJ297" s="1601"/>
      <c r="AK297" s="1601"/>
      <c r="AL297" s="1601"/>
      <c r="AM297" s="1601"/>
      <c r="AN297" s="1234"/>
      <c r="AO297" s="1234"/>
      <c r="AP297" s="1234"/>
      <c r="AQ297" s="1234"/>
      <c r="AR297" s="1234"/>
    </row>
    <row r="298" spans="2:44" ht="15" hidden="1" customHeight="1" x14ac:dyDescent="0.25">
      <c r="B298"/>
      <c r="C298"/>
      <c r="D298"/>
      <c r="E298" t="s">
        <v>55</v>
      </c>
      <c r="F298" t="s">
        <v>430</v>
      </c>
      <c r="G298" t="str">
        <f>IF('Coal Gasification'!$E71&lt;&gt;"",'Coal Gasification'!$E71,"")</f>
        <v/>
      </c>
      <c r="H298" t="str">
        <f>IFERROR(IF('Coal Gasification'!$Y71&lt;&gt;"",'Coal Gasification'!$Y71,""),"")</f>
        <v/>
      </c>
      <c r="I298" t="e">
        <f>AD71</f>
        <v>#N/A</v>
      </c>
      <c r="N298"/>
      <c r="O298"/>
      <c r="P298"/>
      <c r="X298" s="1234"/>
      <c r="Y298" s="1601"/>
      <c r="Z298" s="1601"/>
      <c r="AA298" s="1601"/>
      <c r="AB298" s="1601"/>
      <c r="AC298" s="1601"/>
      <c r="AD298" s="1601"/>
      <c r="AE298" s="1601"/>
      <c r="AF298" s="1601"/>
      <c r="AG298" s="1601"/>
      <c r="AH298" s="1601"/>
      <c r="AI298" s="1601"/>
      <c r="AJ298" s="1601"/>
      <c r="AK298" s="1601"/>
      <c r="AL298" s="1601"/>
      <c r="AM298" s="1601"/>
      <c r="AN298" s="1234"/>
      <c r="AO298" s="1234"/>
      <c r="AP298" s="1234"/>
      <c r="AQ298" s="1234"/>
      <c r="AR298" s="1234"/>
    </row>
    <row r="299" spans="2:44" ht="15" hidden="1" customHeight="1" x14ac:dyDescent="0.25">
      <c r="B299"/>
      <c r="C299"/>
      <c r="D299"/>
      <c r="E299" t="s">
        <v>55</v>
      </c>
      <c r="F299" t="s">
        <v>431</v>
      </c>
      <c r="G299"/>
      <c r="H299" t="e">
        <f>Z176</f>
        <v>#N/A</v>
      </c>
      <c r="I299" t="e">
        <f>Y176</f>
        <v>#N/A</v>
      </c>
      <c r="N299"/>
      <c r="O299"/>
      <c r="P299"/>
      <c r="X299" s="1234"/>
      <c r="Y299" s="1601"/>
      <c r="Z299" s="1601"/>
      <c r="AA299" s="1601"/>
      <c r="AB299" s="1601"/>
      <c r="AC299" s="1601"/>
      <c r="AD299" s="1601"/>
      <c r="AE299" s="1601"/>
      <c r="AF299" s="1601"/>
      <c r="AG299" s="1601"/>
      <c r="AH299" s="1601"/>
      <c r="AI299" s="1601"/>
      <c r="AJ299" s="1601"/>
      <c r="AK299" s="1601"/>
      <c r="AL299" s="1601"/>
      <c r="AM299" s="1601"/>
      <c r="AN299" s="1234"/>
      <c r="AO299" s="1234"/>
      <c r="AP299" s="1234"/>
      <c r="AQ299" s="1234"/>
      <c r="AR299" s="1234"/>
    </row>
    <row r="300" spans="2:44" hidden="1" x14ac:dyDescent="0.25">
      <c r="B300"/>
      <c r="C300"/>
      <c r="D300"/>
      <c r="E300" t="s">
        <v>55</v>
      </c>
      <c r="F300" t="s">
        <v>432</v>
      </c>
      <c r="G300"/>
      <c r="H300" t="e">
        <f>Z177</f>
        <v>#N/A</v>
      </c>
      <c r="I300" t="e">
        <f>Y177</f>
        <v>#N/A</v>
      </c>
      <c r="N300"/>
      <c r="O300"/>
      <c r="P300"/>
      <c r="X300" s="1234"/>
      <c r="Y300" s="1601"/>
      <c r="Z300" s="1601"/>
      <c r="AA300" s="1601"/>
      <c r="AB300" s="1601"/>
      <c r="AC300" s="1601"/>
      <c r="AD300" s="1601"/>
      <c r="AE300" s="1601"/>
      <c r="AF300" s="1601"/>
      <c r="AG300" s="1601"/>
      <c r="AH300" s="1601"/>
      <c r="AI300" s="1601"/>
      <c r="AJ300" s="1601"/>
      <c r="AK300" s="1601"/>
      <c r="AL300" s="1601"/>
      <c r="AM300" s="1601"/>
      <c r="AN300" s="1234"/>
      <c r="AO300" s="1234"/>
      <c r="AP300" s="1234"/>
      <c r="AQ300" s="1234"/>
      <c r="AR300" s="1234"/>
    </row>
    <row r="301" spans="2:44" hidden="1" x14ac:dyDescent="0.25">
      <c r="B301"/>
      <c r="C301"/>
      <c r="D301"/>
      <c r="E301" t="s">
        <v>55</v>
      </c>
      <c r="F301" t="s">
        <v>433</v>
      </c>
      <c r="G301"/>
      <c r="H301" t="e">
        <f>Z178</f>
        <v>#N/A</v>
      </c>
      <c r="I301" t="e">
        <f>Y178</f>
        <v>#N/A</v>
      </c>
      <c r="N301"/>
      <c r="O301"/>
      <c r="P301"/>
      <c r="X301" s="1234"/>
      <c r="Y301" s="1891"/>
      <c r="Z301" s="1891"/>
      <c r="AA301" s="1601"/>
      <c r="AB301" s="1799"/>
      <c r="AC301" s="1800"/>
      <c r="AD301" s="1601"/>
      <c r="AE301" s="1601"/>
      <c r="AF301" s="1601"/>
      <c r="AG301" s="1601"/>
      <c r="AH301" s="1601"/>
      <c r="AI301" s="1601"/>
      <c r="AJ301" s="1601"/>
      <c r="AK301" s="1601"/>
      <c r="AL301" s="1601"/>
      <c r="AM301" s="1601"/>
      <c r="AN301" s="1234"/>
      <c r="AO301" s="1234"/>
      <c r="AP301" s="1234"/>
      <c r="AQ301" s="1234"/>
      <c r="AR301" s="1234"/>
    </row>
    <row r="302" spans="2:44" hidden="1" x14ac:dyDescent="0.25">
      <c r="B302"/>
      <c r="C302"/>
      <c r="D302"/>
      <c r="E302" t="s">
        <v>55</v>
      </c>
      <c r="F302" t="s">
        <v>434</v>
      </c>
      <c r="G302">
        <f>'Electricity Usage'!$E$51</f>
        <v>0</v>
      </c>
      <c r="H302" t="str" cm="1">
        <f t="array" aca="1" ref="H302" ca="1">IF(_xlfn.ANCHORARRAY(G302)&lt;&gt;0,overall_CHPFuelElecAllocation*VLOOKUP(_xlfn.TEXTAFTER(CELL("filename",$A$1),"]"),ElectricityPortionsByPathwayTable[],3,FALSE) + overall_CHPFuelSteamAllocation *VLOOKUP(_xlfn.TEXTAFTER(CELL("filename",$A$1),"]"),ElectricityPortionsByPathwayTable[],4,FALSE),"")</f>
        <v/>
      </c>
      <c r="I302" t="str" cm="1">
        <f t="array" ref="I302">IF(_xlfn.ANCHORARRAY(G302)&lt;&gt;0,('Electricity Usage'!$S$51)*'Electricity Usage'!$T$51/1000,"")</f>
        <v/>
      </c>
      <c r="N302"/>
      <c r="O302"/>
      <c r="P302"/>
      <c r="X302" s="1234"/>
      <c r="Y302" s="1891"/>
      <c r="Z302" s="1891"/>
      <c r="AA302" s="1601"/>
      <c r="AB302" s="1799"/>
      <c r="AC302" s="1800"/>
      <c r="AD302" s="1601"/>
      <c r="AE302" s="1601"/>
      <c r="AF302" s="1601"/>
      <c r="AG302" s="1601"/>
      <c r="AH302" s="1601"/>
      <c r="AI302" s="1601"/>
      <c r="AJ302" s="1601"/>
      <c r="AK302" s="1601"/>
      <c r="AL302" s="1601"/>
      <c r="AM302" s="1601"/>
      <c r="AN302" s="1234"/>
      <c r="AO302" s="1234"/>
      <c r="AP302" s="1234"/>
      <c r="AQ302" s="1234"/>
      <c r="AR302" s="1234"/>
    </row>
    <row r="303" spans="2:44" hidden="1" x14ac:dyDescent="0.25">
      <c r="B303"/>
      <c r="C303"/>
      <c r="D303"/>
      <c r="E303" t="s">
        <v>55</v>
      </c>
      <c r="F303" t="s">
        <v>435</v>
      </c>
      <c r="G303">
        <f>'Electricity Usage'!$E$38</f>
        <v>0</v>
      </c>
      <c r="H303" t="str" cm="1">
        <f t="array" aca="1" ref="H303" ca="1">IF(_xlfn.ANCHORARRAY(G303)&lt;&gt;0,overall_otherOnsiteElecGenViaCombustionFuelAmount*VLOOKUP(_xlfn.TEXTAFTER(CELL("filename",$A$1),"]"),ElectricityPortionsByPathwayTable[],3,FALSE),"")</f>
        <v/>
      </c>
      <c r="I303" t="str" cm="1">
        <f t="array" ref="I303">IF(_xlfn.ANCHORARRAY(G303)&lt;&gt;0,('Electricity Usage'!$S$38)*'Electricity Usage'!$T$38/1000,"")</f>
        <v/>
      </c>
      <c r="N303"/>
      <c r="O303"/>
      <c r="P303"/>
      <c r="X303" s="1234"/>
      <c r="Y303" s="1601"/>
      <c r="Z303" s="1601"/>
      <c r="AA303" s="1601"/>
      <c r="AB303" s="1601"/>
      <c r="AC303" s="1601"/>
      <c r="AD303" s="1601"/>
      <c r="AE303" s="1601"/>
      <c r="AF303" s="1601"/>
      <c r="AG303" s="1601"/>
      <c r="AH303" s="1601"/>
      <c r="AI303" s="1601"/>
      <c r="AJ303" s="1601"/>
      <c r="AK303" s="1601"/>
      <c r="AL303" s="1601"/>
      <c r="AM303" s="1601"/>
      <c r="AN303" s="1234"/>
      <c r="AO303" s="1234"/>
      <c r="AP303" s="1234"/>
      <c r="AQ303" s="1234"/>
      <c r="AR303" s="1234"/>
    </row>
    <row r="304" spans="2:44" s="1164" customFormat="1" hidden="1" x14ac:dyDescent="0.25">
      <c r="B304"/>
      <c r="C304"/>
      <c r="D304"/>
      <c r="E304" t="s">
        <v>55</v>
      </c>
      <c r="F304" t="s">
        <v>436</v>
      </c>
      <c r="G304">
        <f>'Coal Gasification'!$F95</f>
        <v>0</v>
      </c>
      <c r="H304" t="e">
        <f>'Coal Gasification'!$AC95*1000</f>
        <v>#N/A</v>
      </c>
      <c r="I304" t="e">
        <f>('Coal Gasification'!$Y95*'Coal Gasification'!$Z95/1000)</f>
        <v>#VALUE!</v>
      </c>
      <c r="N304"/>
      <c r="O304"/>
      <c r="P304"/>
      <c r="X304" s="1234"/>
      <c r="Y304" s="1601"/>
      <c r="Z304" s="1601"/>
      <c r="AA304" s="1601"/>
      <c r="AB304" s="1601"/>
      <c r="AC304" s="1601"/>
      <c r="AD304" s="1601"/>
      <c r="AE304" s="1601"/>
      <c r="AF304" s="1601"/>
      <c r="AG304" s="1601"/>
      <c r="AH304" s="1601"/>
      <c r="AI304" s="1601"/>
      <c r="AJ304" s="1601"/>
      <c r="AK304" s="1601"/>
      <c r="AL304" s="1601"/>
      <c r="AM304" s="1601"/>
      <c r="AN304" s="1234"/>
      <c r="AO304" s="1234"/>
      <c r="AP304" s="1234"/>
      <c r="AQ304" s="1234"/>
      <c r="AR304" s="1234"/>
    </row>
    <row r="305" spans="2:44" hidden="1" x14ac:dyDescent="0.25">
      <c r="B305"/>
      <c r="C305"/>
      <c r="D305"/>
      <c r="E305" t="s">
        <v>55</v>
      </c>
      <c r="F305" t="s">
        <v>437</v>
      </c>
      <c r="G305">
        <f>'Coal Gasification'!$F96</f>
        <v>0</v>
      </c>
      <c r="H305" t="e">
        <f>'Coal Gasification'!$AC96*1000</f>
        <v>#N/A</v>
      </c>
      <c r="I305" t="e">
        <f>('Coal Gasification'!$Y96*'Coal Gasification'!$Z96/1000)</f>
        <v>#VALUE!</v>
      </c>
      <c r="N305"/>
      <c r="O305"/>
      <c r="P305"/>
      <c r="Y305" s="1774"/>
      <c r="Z305" s="1774"/>
      <c r="AA305" s="1774"/>
      <c r="AB305" s="1774"/>
      <c r="AC305" s="1774"/>
      <c r="AD305" s="1774"/>
      <c r="AE305" s="1774"/>
      <c r="AF305" s="1774"/>
      <c r="AG305" s="1774"/>
      <c r="AH305" s="1774"/>
      <c r="AI305" s="1774"/>
      <c r="AJ305" s="1774"/>
      <c r="AK305" s="1774"/>
      <c r="AL305" s="1774"/>
      <c r="AM305" s="1774"/>
      <c r="AN305" s="1164"/>
      <c r="AO305" s="1164"/>
      <c r="AP305" s="1164"/>
      <c r="AQ305" s="1164"/>
      <c r="AR305" s="1164"/>
    </row>
    <row r="306" spans="2:44" hidden="1" x14ac:dyDescent="0.25">
      <c r="B306"/>
      <c r="C306"/>
      <c r="D306"/>
      <c r="E306" t="s">
        <v>55</v>
      </c>
      <c r="F306" t="s">
        <v>438</v>
      </c>
      <c r="G306">
        <f>'Coal Gasification'!$F97</f>
        <v>0</v>
      </c>
      <c r="H306" t="e">
        <f>'Coal Gasification'!$AC97*1000</f>
        <v>#N/A</v>
      </c>
      <c r="I306" t="e">
        <f>('Coal Gasification'!$Y97*'Coal Gasification'!$Z97/1000)</f>
        <v>#VALUE!</v>
      </c>
      <c r="N306"/>
      <c r="O306"/>
      <c r="P306"/>
      <c r="Y306" s="1774"/>
      <c r="Z306" s="1774"/>
      <c r="AA306" s="1774"/>
      <c r="AB306" s="1774"/>
      <c r="AC306" s="1774"/>
      <c r="AD306" s="1774"/>
      <c r="AE306" s="1774"/>
      <c r="AF306" s="1774"/>
      <c r="AG306" s="1774"/>
      <c r="AH306" s="1774"/>
      <c r="AI306" s="1774"/>
      <c r="AJ306" s="1774"/>
      <c r="AK306" s="1774"/>
      <c r="AL306" s="1774"/>
      <c r="AM306" s="1774"/>
      <c r="AN306" s="1164"/>
      <c r="AO306" s="1164"/>
      <c r="AP306" s="1164"/>
      <c r="AQ306" s="1164"/>
      <c r="AR306" s="1164"/>
    </row>
    <row r="307" spans="2:44" hidden="1" x14ac:dyDescent="0.25">
      <c r="B307"/>
      <c r="C307"/>
      <c r="D307"/>
      <c r="E307" t="s">
        <v>55</v>
      </c>
      <c r="F307" t="s">
        <v>439</v>
      </c>
      <c r="G307">
        <f>'Coal Gasification'!$F98</f>
        <v>0</v>
      </c>
      <c r="H307" t="e">
        <f>'Coal Gasification'!$AC98*1000</f>
        <v>#N/A</v>
      </c>
      <c r="I307" t="e">
        <f>('Coal Gasification'!$Y98*'Coal Gasification'!$Z98/1000)</f>
        <v>#VALUE!</v>
      </c>
      <c r="N307"/>
      <c r="O307"/>
      <c r="P307"/>
    </row>
    <row r="308" spans="2:44" hidden="1" x14ac:dyDescent="0.25">
      <c r="B308"/>
      <c r="C308"/>
      <c r="D308"/>
      <c r="E308" t="s">
        <v>55</v>
      </c>
      <c r="F308" t="s">
        <v>440</v>
      </c>
      <c r="G308">
        <f>'Coal Gasification'!$F99</f>
        <v>0</v>
      </c>
      <c r="H308" t="e">
        <f>'Coal Gasification'!$AC99*1000</f>
        <v>#N/A</v>
      </c>
      <c r="I308" t="e">
        <f>('Coal Gasification'!$Y99*'Coal Gasification'!$Z99/1000)</f>
        <v>#VALUE!</v>
      </c>
      <c r="N308"/>
      <c r="O308"/>
      <c r="P308"/>
    </row>
    <row r="309" spans="2:44" hidden="1" x14ac:dyDescent="0.25">
      <c r="B309"/>
      <c r="C309"/>
      <c r="D309"/>
      <c r="E309" t="s">
        <v>55</v>
      </c>
      <c r="F309" t="s">
        <v>178</v>
      </c>
      <c r="G309"/>
      <c r="H309" t="s">
        <v>369</v>
      </c>
      <c r="I309"/>
      <c r="N309"/>
      <c r="O309"/>
      <c r="P309"/>
    </row>
    <row r="310" spans="2:44" hidden="1" x14ac:dyDescent="0.25">
      <c r="B310"/>
      <c r="C310"/>
      <c r="D310"/>
      <c r="E310" t="s">
        <v>55</v>
      </c>
      <c r="F310" t="s">
        <v>179</v>
      </c>
      <c r="G310"/>
      <c r="H310" t="s">
        <v>369</v>
      </c>
      <c r="I310"/>
      <c r="O310"/>
      <c r="P310"/>
    </row>
    <row r="311" spans="2:44" hidden="1" x14ac:dyDescent="0.25">
      <c r="B311"/>
      <c r="C311"/>
      <c r="D311"/>
      <c r="E311" t="s">
        <v>55</v>
      </c>
      <c r="F311" t="s">
        <v>180</v>
      </c>
      <c r="G311"/>
      <c r="H311" t="s">
        <v>369</v>
      </c>
      <c r="I311"/>
      <c r="N311"/>
      <c r="O311"/>
      <c r="P311"/>
      <c r="Z311" s="1801"/>
      <c r="AA311" s="1801"/>
    </row>
    <row r="312" spans="2:44" hidden="1" x14ac:dyDescent="0.25">
      <c r="B312"/>
      <c r="C312"/>
      <c r="D312"/>
      <c r="E312" t="s">
        <v>55</v>
      </c>
      <c r="F312" t="s">
        <v>441</v>
      </c>
      <c r="G312"/>
      <c r="H312">
        <f>'Coal Gasification'!$E$13</f>
        <v>0</v>
      </c>
      <c r="I312"/>
      <c r="N312"/>
      <c r="O312"/>
      <c r="P312"/>
      <c r="W312" s="1164"/>
      <c r="X312" s="1164"/>
      <c r="Y312" s="1774"/>
      <c r="Z312" s="1774"/>
      <c r="AA312" s="1774"/>
      <c r="AB312" s="1774"/>
      <c r="AC312" s="1774"/>
      <c r="AD312" s="1774"/>
      <c r="AE312" s="1774"/>
      <c r="AF312" s="1774"/>
      <c r="AG312" s="1774"/>
      <c r="AH312" s="1774"/>
      <c r="AI312" s="1774"/>
      <c r="AJ312" s="1774"/>
      <c r="AK312" s="1774"/>
      <c r="AL312" s="1774"/>
      <c r="AM312" s="1774"/>
      <c r="AN312" s="1164"/>
    </row>
    <row r="313" spans="2:44" hidden="1" x14ac:dyDescent="0.25">
      <c r="B313"/>
      <c r="C313"/>
      <c r="D313"/>
      <c r="E313" t="s">
        <v>55</v>
      </c>
      <c r="F313" t="s">
        <v>442</v>
      </c>
      <c r="G313"/>
      <c r="H313" t="s">
        <v>369</v>
      </c>
      <c r="I313"/>
      <c r="N313"/>
      <c r="O313"/>
      <c r="P313"/>
      <c r="W313" s="1164"/>
      <c r="X313" s="1164"/>
      <c r="Y313" s="1774"/>
      <c r="Z313" s="1774"/>
      <c r="AA313" s="1774"/>
      <c r="AB313" s="1774"/>
      <c r="AC313" s="1774"/>
      <c r="AD313" s="1774"/>
      <c r="AE313" s="1774"/>
      <c r="AF313" s="1774"/>
      <c r="AG313" s="1774"/>
      <c r="AH313" s="1774"/>
      <c r="AI313" s="1774"/>
      <c r="AJ313" s="1774"/>
      <c r="AK313" s="1774"/>
      <c r="AL313" s="1774"/>
      <c r="AM313" s="1774"/>
      <c r="AN313" s="1164"/>
    </row>
    <row r="314" spans="2:44" hidden="1" x14ac:dyDescent="0.25">
      <c r="B314"/>
      <c r="C314"/>
      <c r="D314"/>
      <c r="E314" t="s">
        <v>55</v>
      </c>
      <c r="F314" t="s">
        <v>499</v>
      </c>
      <c r="G314"/>
      <c r="H314">
        <f>'Coal Gasification'!$E$14</f>
        <v>0</v>
      </c>
      <c r="I314"/>
      <c r="N314"/>
      <c r="O314"/>
      <c r="P314"/>
      <c r="W314" s="1164"/>
      <c r="X314" s="1164"/>
      <c r="Y314" s="1774"/>
      <c r="Z314" s="1774"/>
      <c r="AA314" s="1774"/>
      <c r="AB314" s="1774"/>
      <c r="AC314" s="1774"/>
      <c r="AD314" s="1774"/>
      <c r="AE314" s="1774"/>
      <c r="AF314" s="1774"/>
      <c r="AG314" s="1774"/>
      <c r="AH314" s="1774"/>
      <c r="AI314" s="1774"/>
      <c r="AJ314" s="1774"/>
      <c r="AK314" s="1774"/>
      <c r="AL314" s="1774"/>
      <c r="AM314" s="1774"/>
      <c r="AN314" s="1164"/>
    </row>
    <row r="315" spans="2:44" hidden="1" x14ac:dyDescent="0.25">
      <c r="B315"/>
      <c r="C315"/>
      <c r="D315"/>
      <c r="E315" t="s">
        <v>55</v>
      </c>
      <c r="F315" t="s">
        <v>443</v>
      </c>
      <c r="G315"/>
      <c r="H315">
        <f>'Coal Gasification'!$E$15</f>
        <v>0</v>
      </c>
      <c r="I315"/>
      <c r="N315"/>
      <c r="O315"/>
      <c r="P315"/>
      <c r="W315" s="1164"/>
      <c r="X315" s="1164"/>
      <c r="Y315" s="1832"/>
      <c r="Z315" s="1774"/>
      <c r="AA315" s="1774"/>
      <c r="AB315" s="1774"/>
      <c r="AC315" s="1774"/>
      <c r="AD315" s="1774"/>
      <c r="AE315" s="1774"/>
      <c r="AF315" s="1774"/>
      <c r="AG315" s="1774"/>
      <c r="AH315" s="1774"/>
      <c r="AI315" s="1774"/>
      <c r="AJ315" s="1774"/>
      <c r="AK315" s="1774"/>
      <c r="AL315" s="1774"/>
      <c r="AM315" s="1774"/>
      <c r="AN315" s="1164"/>
    </row>
    <row r="316" spans="2:44" hidden="1" x14ac:dyDescent="0.25">
      <c r="B316"/>
      <c r="C316"/>
      <c r="D316"/>
      <c r="E316" t="s">
        <v>55</v>
      </c>
      <c r="F316" t="s">
        <v>444</v>
      </c>
      <c r="G316"/>
      <c r="H316">
        <f>'Coal Gasification'!$E$16</f>
        <v>0</v>
      </c>
      <c r="I316"/>
      <c r="N316"/>
      <c r="O316"/>
      <c r="P316"/>
      <c r="W316" s="1164"/>
      <c r="X316" s="1164"/>
      <c r="Y316" s="1903"/>
      <c r="Z316" s="1903"/>
      <c r="AA316" s="1774"/>
      <c r="AB316" s="1832"/>
      <c r="AC316" s="1774"/>
      <c r="AD316" s="1774"/>
      <c r="AE316" s="1774"/>
      <c r="AF316" s="1774"/>
      <c r="AG316" s="1774"/>
      <c r="AH316" s="1774"/>
      <c r="AI316" s="1774"/>
      <c r="AJ316" s="1774"/>
      <c r="AK316" s="1774"/>
      <c r="AL316" s="1774"/>
      <c r="AM316" s="1774"/>
      <c r="AN316" s="1164"/>
    </row>
    <row r="317" spans="2:44" s="1164" customFormat="1" hidden="1" x14ac:dyDescent="0.25">
      <c r="B317"/>
      <c r="C317"/>
      <c r="D317"/>
      <c r="E317" t="s">
        <v>55</v>
      </c>
      <c r="F317" t="s">
        <v>445</v>
      </c>
      <c r="G317"/>
      <c r="H317"/>
      <c r="I317"/>
      <c r="N317"/>
      <c r="O317"/>
      <c r="P317"/>
      <c r="Y317" s="1903"/>
      <c r="Z317" s="1903"/>
      <c r="AA317" s="1774"/>
      <c r="AB317" s="1774"/>
      <c r="AC317" s="1774"/>
      <c r="AD317" s="1774"/>
      <c r="AE317" s="1774"/>
      <c r="AF317" s="1774"/>
      <c r="AG317" s="1774"/>
      <c r="AH317" s="1774"/>
      <c r="AI317" s="1774"/>
      <c r="AJ317" s="1774"/>
      <c r="AK317" s="1774"/>
      <c r="AL317" s="1774"/>
      <c r="AM317" s="1774"/>
    </row>
    <row r="318" spans="2:44" hidden="1" x14ac:dyDescent="0.25">
      <c r="B318"/>
      <c r="C318"/>
      <c r="D318"/>
      <c r="E318" t="s">
        <v>55</v>
      </c>
      <c r="F318" t="s">
        <v>446</v>
      </c>
      <c r="G318" t="str">
        <f>'Coal Gasification'!$E119</f>
        <v>Acid Gas Removal</v>
      </c>
      <c r="H318" t="e">
        <f>'Coal Gasification'!$Z$119</f>
        <v>#N/A</v>
      </c>
      <c r="I318" t="s">
        <v>90</v>
      </c>
      <c r="N318"/>
      <c r="O318"/>
      <c r="P318"/>
      <c r="W318" s="1164"/>
      <c r="X318" s="1164"/>
      <c r="Y318" s="1774"/>
      <c r="Z318" s="1774"/>
      <c r="AA318" s="1774"/>
      <c r="AB318" s="1774"/>
      <c r="AC318" s="1774"/>
      <c r="AD318" s="1774"/>
      <c r="AE318" s="1774"/>
      <c r="AF318" s="1774"/>
      <c r="AG318" s="1774"/>
      <c r="AH318" s="1774"/>
      <c r="AI318" s="1774"/>
      <c r="AJ318" s="1774"/>
      <c r="AK318" s="1774"/>
      <c r="AL318" s="1774"/>
      <c r="AM318" s="1774"/>
      <c r="AN318" s="1164"/>
    </row>
    <row r="319" spans="2:44" hidden="1" x14ac:dyDescent="0.25">
      <c r="B319"/>
      <c r="C319"/>
      <c r="D319"/>
      <c r="E319" t="s">
        <v>55</v>
      </c>
      <c r="F319" t="s">
        <v>447</v>
      </c>
      <c r="G319" t="str">
        <f>'Coal Gasification'!$E120</f>
        <v>Sulphur Recovery Unit</v>
      </c>
      <c r="H319" t="e">
        <f>'Coal Gasification'!$Z$120</f>
        <v>#N/A</v>
      </c>
      <c r="I319" t="s">
        <v>90</v>
      </c>
      <c r="N319"/>
      <c r="O319"/>
      <c r="P319"/>
      <c r="W319" s="1164"/>
      <c r="X319" s="1164"/>
      <c r="Y319" s="1774"/>
      <c r="Z319" s="1774"/>
      <c r="AA319" s="1774"/>
      <c r="AB319" s="1774"/>
      <c r="AC319" s="1774"/>
      <c r="AD319" s="1774"/>
      <c r="AE319" s="1774"/>
      <c r="AF319" s="1774"/>
      <c r="AG319" s="1774"/>
      <c r="AH319" s="1774"/>
      <c r="AI319" s="1774"/>
      <c r="AJ319" s="1774"/>
      <c r="AK319" s="1774"/>
      <c r="AL319" s="1774"/>
      <c r="AM319" s="1774"/>
      <c r="AN319" s="1164"/>
    </row>
    <row r="320" spans="2:44" hidden="1" x14ac:dyDescent="0.25">
      <c r="B320"/>
      <c r="C320"/>
      <c r="D320"/>
      <c r="E320" t="s">
        <v>55</v>
      </c>
      <c r="F320" t="s">
        <v>448</v>
      </c>
      <c r="G320" t="str">
        <f>'Coal Gasification'!$E121</f>
        <v>PSA Offgas Flue</v>
      </c>
      <c r="H320" t="e">
        <f>'Coal Gasification'!$Z$121</f>
        <v>#N/A</v>
      </c>
      <c r="I320" t="s">
        <v>90</v>
      </c>
      <c r="N320"/>
      <c r="O320"/>
      <c r="P320"/>
      <c r="W320" s="1164"/>
      <c r="X320" s="1164"/>
      <c r="Y320" s="1774"/>
      <c r="Z320" s="1774"/>
      <c r="AA320" s="1774"/>
      <c r="AB320" s="1774"/>
      <c r="AC320" s="1774"/>
      <c r="AD320" s="1774"/>
      <c r="AE320" s="1774"/>
      <c r="AF320" s="1774"/>
      <c r="AG320" s="1774"/>
      <c r="AH320" s="1774"/>
      <c r="AI320" s="1774"/>
      <c r="AJ320" s="1774"/>
      <c r="AK320" s="1774"/>
      <c r="AL320" s="1774"/>
      <c r="AM320" s="1774"/>
      <c r="AN320" s="1164"/>
    </row>
    <row r="321" spans="2:40" hidden="1" x14ac:dyDescent="0.25">
      <c r="B321"/>
      <c r="C321"/>
      <c r="D321"/>
      <c r="E321" t="s">
        <v>55</v>
      </c>
      <c r="F321" t="s">
        <v>449</v>
      </c>
      <c r="G321"/>
      <c r="H321"/>
      <c r="I321"/>
      <c r="N321"/>
      <c r="O321"/>
      <c r="P321"/>
      <c r="W321" s="1164"/>
      <c r="X321" s="1164"/>
      <c r="Y321" s="1774"/>
      <c r="Z321" s="1774"/>
      <c r="AA321" s="1774"/>
      <c r="AB321" s="1774"/>
      <c r="AC321" s="1774"/>
      <c r="AD321" s="1774"/>
      <c r="AE321" s="1774"/>
      <c r="AF321" s="1774"/>
      <c r="AG321" s="1774"/>
      <c r="AH321" s="1774"/>
      <c r="AI321" s="1774"/>
      <c r="AJ321" s="1774"/>
      <c r="AK321" s="1774"/>
      <c r="AL321" s="1774"/>
      <c r="AM321" s="1774"/>
      <c r="AN321" s="1164"/>
    </row>
    <row r="322" spans="2:40" hidden="1" x14ac:dyDescent="0.25">
      <c r="B322"/>
      <c r="C322"/>
      <c r="D322"/>
      <c r="E322" t="s">
        <v>55</v>
      </c>
      <c r="F322" t="s">
        <v>450</v>
      </c>
      <c r="G322" t="s">
        <v>591</v>
      </c>
      <c r="H322" t="e">
        <f>'Coal Gasification'!$AA$121</f>
        <v>#N/A</v>
      </c>
      <c r="I322" t="s">
        <v>90</v>
      </c>
      <c r="N322"/>
      <c r="O322"/>
      <c r="P322"/>
      <c r="W322" s="1164"/>
      <c r="X322" s="1164"/>
      <c r="Y322" s="1774"/>
      <c r="Z322" s="1774"/>
      <c r="AA322" s="1774"/>
      <c r="AB322" s="1774"/>
      <c r="AC322" s="1774"/>
      <c r="AD322" s="1774"/>
      <c r="AE322" s="1774"/>
      <c r="AF322" s="1774"/>
      <c r="AG322" s="1774"/>
      <c r="AH322" s="1774"/>
      <c r="AI322" s="1774"/>
      <c r="AJ322" s="1774"/>
      <c r="AK322" s="1774"/>
      <c r="AL322" s="1774"/>
      <c r="AM322" s="1774"/>
      <c r="AN322" s="1164"/>
    </row>
    <row r="323" spans="2:40" s="1164" customFormat="1" hidden="1" x14ac:dyDescent="0.25">
      <c r="B323"/>
      <c r="C323"/>
      <c r="D323"/>
      <c r="E323" t="s">
        <v>55</v>
      </c>
      <c r="F323" t="s">
        <v>63</v>
      </c>
      <c r="G323"/>
      <c r="H323">
        <f>iq_ccsMonitoringTech</f>
        <v>0</v>
      </c>
      <c r="I323"/>
      <c r="N323"/>
      <c r="O323"/>
      <c r="P323"/>
      <c r="Y323" s="1774"/>
      <c r="Z323" s="1774"/>
      <c r="AA323" s="1774"/>
      <c r="AB323" s="1774"/>
      <c r="AC323" s="1774"/>
      <c r="AD323" s="1774"/>
      <c r="AE323" s="1774"/>
      <c r="AF323" s="1774"/>
      <c r="AG323" s="1774"/>
      <c r="AH323" s="1774"/>
      <c r="AI323" s="1774"/>
      <c r="AJ323" s="1774"/>
      <c r="AK323" s="1774"/>
      <c r="AL323" s="1774"/>
      <c r="AM323" s="1774"/>
    </row>
    <row r="324" spans="2:40" hidden="1" x14ac:dyDescent="0.25">
      <c r="B324"/>
      <c r="C324"/>
      <c r="D324"/>
      <c r="E324" t="s">
        <v>55</v>
      </c>
      <c r="F324" t="s">
        <v>451</v>
      </c>
      <c r="G324"/>
      <c r="H324" t="e">
        <f>Z88*1000</f>
        <v>#N/A</v>
      </c>
      <c r="I324" t="s">
        <v>90</v>
      </c>
      <c r="N324"/>
      <c r="O324"/>
      <c r="P324"/>
    </row>
    <row r="325" spans="2:40" hidden="1" x14ac:dyDescent="0.25">
      <c r="B325"/>
      <c r="C325"/>
      <c r="D325"/>
      <c r="E325" t="s">
        <v>55</v>
      </c>
      <c r="F325" t="s">
        <v>452</v>
      </c>
      <c r="G325"/>
      <c r="H325" t="s">
        <v>369</v>
      </c>
      <c r="I325"/>
      <c r="N325"/>
      <c r="O325"/>
      <c r="P325"/>
    </row>
    <row r="326" spans="2:40" hidden="1" x14ac:dyDescent="0.25">
      <c r="B326"/>
      <c r="C326"/>
      <c r="D326"/>
      <c r="E326" t="s">
        <v>55</v>
      </c>
      <c r="F326" t="s">
        <v>453</v>
      </c>
      <c r="G326"/>
      <c r="H326" t="e">
        <f>Y88*AA88</f>
        <v>#N/A</v>
      </c>
      <c r="I326" t="s">
        <v>90</v>
      </c>
      <c r="N326"/>
      <c r="O326"/>
      <c r="P326"/>
    </row>
    <row r="327" spans="2:40" hidden="1" x14ac:dyDescent="0.25">
      <c r="B327"/>
      <c r="C327"/>
      <c r="D327"/>
      <c r="E327" t="s">
        <v>55</v>
      </c>
      <c r="F327" t="s">
        <v>454</v>
      </c>
      <c r="G327"/>
      <c r="H327">
        <f>iq_ccsStorage</f>
        <v>0</v>
      </c>
      <c r="I327"/>
      <c r="N327"/>
      <c r="O327"/>
      <c r="P327"/>
    </row>
    <row r="328" spans="2:40" hidden="1" x14ac:dyDescent="0.25">
      <c r="B328"/>
      <c r="C328"/>
      <c r="D328"/>
      <c r="E328" t="s">
        <v>55</v>
      </c>
      <c r="F328" t="s">
        <v>65</v>
      </c>
      <c r="G328"/>
      <c r="H328">
        <f>iq_ccsLocation</f>
        <v>0</v>
      </c>
      <c r="I328"/>
      <c r="N328"/>
      <c r="O328"/>
      <c r="P328"/>
    </row>
    <row r="329" spans="2:40" hidden="1" x14ac:dyDescent="0.25">
      <c r="B329"/>
      <c r="C329"/>
      <c r="D329"/>
      <c r="E329" t="s">
        <v>55</v>
      </c>
      <c r="F329" t="s">
        <v>455</v>
      </c>
      <c r="G329"/>
      <c r="H329">
        <f>iq_ccsTransport</f>
        <v>0</v>
      </c>
      <c r="I329"/>
      <c r="N329"/>
      <c r="O329"/>
      <c r="P329"/>
    </row>
    <row r="330" spans="2:40" hidden="1" x14ac:dyDescent="0.25">
      <c r="B330"/>
      <c r="C330"/>
      <c r="D330"/>
      <c r="E330" t="s">
        <v>55</v>
      </c>
      <c r="F330" t="s">
        <v>456</v>
      </c>
      <c r="G330"/>
      <c r="H330">
        <f>'Coal Gasification'!$Y$147</f>
        <v>0</v>
      </c>
      <c r="I330" t="s">
        <v>90</v>
      </c>
      <c r="N330"/>
      <c r="O330"/>
      <c r="P330"/>
    </row>
    <row r="331" spans="2:40" hidden="1" x14ac:dyDescent="0.25">
      <c r="B331"/>
      <c r="C331"/>
      <c r="D331"/>
      <c r="E331" t="s">
        <v>55</v>
      </c>
      <c r="F331" t="s">
        <v>457</v>
      </c>
      <c r="G331"/>
      <c r="H331">
        <f>'Coal Gasification'!$Y$149</f>
        <v>0</v>
      </c>
      <c r="I331" t="s">
        <v>90</v>
      </c>
      <c r="N331"/>
      <c r="O331"/>
      <c r="P331"/>
    </row>
    <row r="332" spans="2:40" hidden="1" x14ac:dyDescent="0.25">
      <c r="B332"/>
      <c r="C332"/>
      <c r="D332"/>
      <c r="E332" t="s">
        <v>55</v>
      </c>
      <c r="F332" t="s">
        <v>572</v>
      </c>
      <c r="G332"/>
      <c r="H332">
        <f>'Coal Gasification'!$Y$148</f>
        <v>0</v>
      </c>
      <c r="I332" t="s">
        <v>90</v>
      </c>
      <c r="N332"/>
      <c r="O332"/>
      <c r="P332"/>
    </row>
    <row r="333" spans="2:40" hidden="1" x14ac:dyDescent="0.25">
      <c r="B333"/>
      <c r="C333"/>
      <c r="D333"/>
      <c r="E333" t="s">
        <v>55</v>
      </c>
      <c r="F333" t="s">
        <v>459</v>
      </c>
      <c r="G333"/>
      <c r="H333">
        <f>'Coal Gasification'!$Y$151</f>
        <v>0</v>
      </c>
      <c r="I333" t="s">
        <v>90</v>
      </c>
      <c r="N333"/>
      <c r="O333"/>
      <c r="P333"/>
    </row>
    <row r="334" spans="2:40" hidden="1" x14ac:dyDescent="0.25">
      <c r="B334"/>
      <c r="C334"/>
      <c r="D334"/>
      <c r="E334" t="s">
        <v>55</v>
      </c>
      <c r="F334" t="s">
        <v>460</v>
      </c>
      <c r="G334"/>
      <c r="H334">
        <f>'Coal Gasification'!$Y$152</f>
        <v>0</v>
      </c>
      <c r="I334" t="s">
        <v>90</v>
      </c>
      <c r="N334"/>
      <c r="O334"/>
      <c r="P334"/>
    </row>
    <row r="335" spans="2:40" hidden="1" x14ac:dyDescent="0.25">
      <c r="B335"/>
      <c r="C335"/>
      <c r="D335"/>
      <c r="E335" t="s">
        <v>55</v>
      </c>
      <c r="F335" t="s">
        <v>461</v>
      </c>
      <c r="G335"/>
      <c r="H335" s="227">
        <f>SUMIF('Coal Gasification'!$AA$176:$AA$178,"&lt;&gt;#N/A")+SUMIF(Y61,"&lt;&gt;#N/A")</f>
        <v>0</v>
      </c>
      <c r="I335" t="s">
        <v>90</v>
      </c>
      <c r="N335"/>
      <c r="O335"/>
      <c r="P335"/>
    </row>
    <row r="336" spans="2:40" hidden="1" x14ac:dyDescent="0.25">
      <c r="B336"/>
      <c r="C336"/>
      <c r="D336"/>
      <c r="E336" t="s">
        <v>55</v>
      </c>
      <c r="F336" t="s">
        <v>462</v>
      </c>
      <c r="G336"/>
      <c r="H336">
        <f>SUMIF('Coal Gasification'!$Z$176:$Z$178,"&gt;0")</f>
        <v>0</v>
      </c>
      <c r="I336" t="s">
        <v>90</v>
      </c>
      <c r="N336"/>
      <c r="O336"/>
      <c r="P336"/>
    </row>
    <row r="337" spans="2:16" hidden="1" x14ac:dyDescent="0.25">
      <c r="B337"/>
      <c r="C337"/>
      <c r="D337"/>
      <c r="E337" t="s">
        <v>55</v>
      </c>
      <c r="F337" t="s">
        <v>463</v>
      </c>
      <c r="G337"/>
      <c r="H337">
        <f>'Coal Gasification'!$Y$169</f>
        <v>0</v>
      </c>
      <c r="I337" t="s">
        <v>415</v>
      </c>
      <c r="N337"/>
      <c r="O337"/>
      <c r="P337"/>
    </row>
    <row r="338" spans="2:16" hidden="1" x14ac:dyDescent="0.25">
      <c r="B338"/>
      <c r="C338"/>
      <c r="D338"/>
      <c r="E338" t="s">
        <v>55</v>
      </c>
      <c r="F338" t="s">
        <v>464</v>
      </c>
      <c r="G338"/>
      <c r="H338">
        <f>'Coal Gasification'!Y148</f>
        <v>0</v>
      </c>
      <c r="I338" t="s">
        <v>90</v>
      </c>
      <c r="N338"/>
      <c r="O338"/>
      <c r="P338"/>
    </row>
    <row r="339" spans="2:16" hidden="1" x14ac:dyDescent="0.25">
      <c r="B339"/>
      <c r="C339"/>
      <c r="D339"/>
      <c r="E339" t="s">
        <v>55</v>
      </c>
      <c r="F339" t="s">
        <v>465</v>
      </c>
      <c r="G339"/>
      <c r="H339">
        <f>IFERROR('Coal Gasification'!$Z$195,0)</f>
        <v>0</v>
      </c>
      <c r="I339" t="s">
        <v>90</v>
      </c>
      <c r="N339"/>
      <c r="O339"/>
      <c r="P339"/>
    </row>
    <row r="340" spans="2:16" hidden="1" x14ac:dyDescent="0.25">
      <c r="B340"/>
      <c r="C340"/>
      <c r="D340"/>
      <c r="E340" t="s">
        <v>55</v>
      </c>
      <c r="F340" t="s">
        <v>466</v>
      </c>
      <c r="G340"/>
      <c r="H340">
        <f>IFERROR('Coal Gasification'!$Z$196,0)</f>
        <v>0</v>
      </c>
      <c r="I340" t="s">
        <v>90</v>
      </c>
      <c r="N340"/>
      <c r="O340"/>
      <c r="P340"/>
    </row>
    <row r="341" spans="2:16" hidden="1" x14ac:dyDescent="0.25">
      <c r="B341"/>
      <c r="C341"/>
      <c r="D341"/>
      <c r="E341" t="s">
        <v>55</v>
      </c>
      <c r="F341" t="s">
        <v>467</v>
      </c>
      <c r="G341"/>
      <c r="H341" t="e">
        <f>'Coal Gasification'!$AG$188</f>
        <v>#N/A</v>
      </c>
      <c r="I341" t="s">
        <v>90</v>
      </c>
      <c r="N341"/>
      <c r="O341"/>
      <c r="P341"/>
    </row>
    <row r="342" spans="2:16" hidden="1" x14ac:dyDescent="0.25">
      <c r="B342"/>
      <c r="C342"/>
      <c r="D342"/>
      <c r="E342" t="s">
        <v>55</v>
      </c>
      <c r="F342" t="s">
        <v>468</v>
      </c>
      <c r="G342"/>
      <c r="H342" t="e">
        <f>'Coal Gasification'!$AG$187</f>
        <v>#N/A</v>
      </c>
      <c r="I342" t="s">
        <v>90</v>
      </c>
      <c r="N342"/>
      <c r="O342"/>
      <c r="P342"/>
    </row>
    <row r="343" spans="2:16" hidden="1" x14ac:dyDescent="0.25">
      <c r="B343"/>
      <c r="C343"/>
      <c r="D343"/>
      <c r="E343" t="s">
        <v>55</v>
      </c>
      <c r="F343" t="s">
        <v>469</v>
      </c>
      <c r="G343"/>
      <c r="H343" t="e">
        <f>'Coal Gasification'!$AG$186</f>
        <v>#N/A</v>
      </c>
      <c r="I343" t="s">
        <v>90</v>
      </c>
      <c r="N343"/>
      <c r="O343"/>
      <c r="P343"/>
    </row>
    <row r="344" spans="2:16" hidden="1" x14ac:dyDescent="0.25">
      <c r="B344"/>
      <c r="C344"/>
      <c r="D344"/>
      <c r="E344" t="s">
        <v>55</v>
      </c>
      <c r="F344" t="s">
        <v>470</v>
      </c>
      <c r="G344"/>
      <c r="H344">
        <f>IFERROR('Coal Gasification'!$AA$195,0)</f>
        <v>0</v>
      </c>
      <c r="I344" t="s">
        <v>90</v>
      </c>
      <c r="N344"/>
      <c r="O344"/>
      <c r="P344"/>
    </row>
    <row r="345" spans="2:16" hidden="1" x14ac:dyDescent="0.25">
      <c r="B345"/>
      <c r="C345"/>
      <c r="D345"/>
      <c r="E345" t="s">
        <v>55</v>
      </c>
      <c r="F345" t="s">
        <v>471</v>
      </c>
      <c r="G345"/>
      <c r="H345">
        <f>IFERROR('Coal Gasification'!$AA$196,0)</f>
        <v>0</v>
      </c>
      <c r="I345" t="s">
        <v>90</v>
      </c>
      <c r="N345"/>
      <c r="O345"/>
      <c r="P345"/>
    </row>
    <row r="346" spans="2:16" hidden="1" x14ac:dyDescent="0.25">
      <c r="B346"/>
      <c r="C346"/>
      <c r="D346"/>
      <c r="E346" t="s">
        <v>55</v>
      </c>
      <c r="F346" t="s">
        <v>472</v>
      </c>
      <c r="G346"/>
      <c r="H346">
        <f>IFERROR('Coal Gasification'!$AF$188,0)</f>
        <v>0</v>
      </c>
      <c r="I346" t="s">
        <v>90</v>
      </c>
      <c r="N346"/>
      <c r="O346"/>
      <c r="P346"/>
    </row>
    <row r="347" spans="2:16" hidden="1" x14ac:dyDescent="0.25">
      <c r="B347"/>
      <c r="C347"/>
      <c r="D347"/>
      <c r="E347" t="s">
        <v>55</v>
      </c>
      <c r="F347" t="s">
        <v>473</v>
      </c>
      <c r="G347"/>
      <c r="H347">
        <f>IFERROR('Coal Gasification'!$AF$187,0)</f>
        <v>0</v>
      </c>
      <c r="I347" t="s">
        <v>90</v>
      </c>
      <c r="J347"/>
      <c r="K347"/>
      <c r="L347"/>
      <c r="M347"/>
      <c r="N347"/>
      <c r="O347"/>
      <c r="P347"/>
    </row>
    <row r="348" spans="2:16" hidden="1" x14ac:dyDescent="0.25">
      <c r="B348"/>
      <c r="C348"/>
      <c r="D348"/>
      <c r="E348" t="s">
        <v>55</v>
      </c>
      <c r="F348" t="s">
        <v>474</v>
      </c>
      <c r="G348"/>
      <c r="H348">
        <f>IFERROR('Coal Gasification'!$AF$186,0)</f>
        <v>0</v>
      </c>
      <c r="I348" t="s">
        <v>90</v>
      </c>
      <c r="J348"/>
      <c r="K348"/>
      <c r="L348"/>
      <c r="M348"/>
      <c r="N348"/>
      <c r="O348"/>
      <c r="P348"/>
    </row>
    <row r="349" spans="2:16" hidden="1" x14ac:dyDescent="0.25">
      <c r="B349"/>
      <c r="C349"/>
      <c r="D349"/>
      <c r="E349" t="s">
        <v>55</v>
      </c>
      <c r="F349" t="str">
        <f>_xlfn.CONCAT("Quantity of ",'Coal Gasification'!$C$197, " Produced")</f>
        <v>Quantity of Product 3 Produced</v>
      </c>
      <c r="G349"/>
      <c r="H349">
        <f>IFERROR('Coal Gasification'!$Z$197,0)</f>
        <v>0</v>
      </c>
      <c r="I349" t="s">
        <v>90</v>
      </c>
      <c r="J349"/>
      <c r="K349"/>
      <c r="L349"/>
      <c r="M349"/>
      <c r="N349"/>
      <c r="O349"/>
      <c r="P349"/>
    </row>
    <row r="350" spans="2:16" hidden="1" x14ac:dyDescent="0.25">
      <c r="B350"/>
      <c r="C350"/>
      <c r="D350"/>
      <c r="E350" t="s">
        <v>55</v>
      </c>
      <c r="F350" t="str">
        <f>_xlfn.CONCAT("Quantity of ",'Coal Gasification'!$C$198, " Produced")</f>
        <v>Quantity of Product 4 Produced</v>
      </c>
      <c r="G350"/>
      <c r="H350">
        <f>IFERROR('Coal Gasification'!$Z$198,0)</f>
        <v>0</v>
      </c>
      <c r="I350" t="s">
        <v>90</v>
      </c>
      <c r="J350"/>
      <c r="K350"/>
      <c r="L350"/>
      <c r="M350"/>
      <c r="N350"/>
      <c r="O350"/>
      <c r="P350"/>
    </row>
    <row r="351" spans="2:16" hidden="1" x14ac:dyDescent="0.25">
      <c r="B351"/>
      <c r="C351"/>
      <c r="D351"/>
      <c r="E351" t="s">
        <v>55</v>
      </c>
      <c r="F351" t="str">
        <f>_xlfn.CONCAT("Quantity of ",'Coal Gasification'!$C$205, " Produced")</f>
        <v>Quantity of Product 5 Produced</v>
      </c>
      <c r="G351"/>
      <c r="H351">
        <f>IFERROR('Coal Gasification'!$AD$205,0)</f>
        <v>0</v>
      </c>
      <c r="I351" t="s">
        <v>90</v>
      </c>
      <c r="J351"/>
      <c r="K351"/>
      <c r="L351"/>
      <c r="M351"/>
      <c r="N351"/>
      <c r="O351"/>
      <c r="P351"/>
    </row>
    <row r="352" spans="2:16" hidden="1" x14ac:dyDescent="0.25">
      <c r="B352"/>
      <c r="C352"/>
      <c r="D352"/>
      <c r="E352" t="s">
        <v>55</v>
      </c>
      <c r="F352" t="str">
        <f>_xlfn.CONCAT("Quantity of ",'Coal Gasification'!$C$206, " Produced")</f>
        <v>Quantity of Product 6 Produced</v>
      </c>
      <c r="G352"/>
      <c r="H352">
        <f>IFERROR('Coal Gasification'!$AD$206,0)</f>
        <v>0</v>
      </c>
      <c r="I352" t="s">
        <v>90</v>
      </c>
      <c r="J352"/>
      <c r="K352"/>
      <c r="L352"/>
      <c r="M352"/>
      <c r="N352"/>
      <c r="O352"/>
      <c r="P352"/>
    </row>
    <row r="353" spans="2:16" hidden="1" x14ac:dyDescent="0.25">
      <c r="B353"/>
      <c r="C353"/>
      <c r="D353"/>
      <c r="E353" t="s">
        <v>55</v>
      </c>
      <c r="F353" t="str">
        <f>_xlfn.CONCAT("Quantity of ",'Coal Gasification'!$C$207, " Produced")</f>
        <v>Quantity of Product 7 Produced</v>
      </c>
      <c r="G353"/>
      <c r="H353">
        <f>IFERROR('Coal Gasification'!$AD$207,0)</f>
        <v>0</v>
      </c>
      <c r="I353" t="s">
        <v>90</v>
      </c>
      <c r="J353"/>
      <c r="K353"/>
      <c r="L353"/>
      <c r="M353"/>
      <c r="N353"/>
      <c r="O353"/>
      <c r="P353"/>
    </row>
    <row r="354" spans="2:16" hidden="1" x14ac:dyDescent="0.25">
      <c r="B354"/>
      <c r="C354"/>
      <c r="D354"/>
      <c r="E354" t="s">
        <v>55</v>
      </c>
      <c r="F354" t="str">
        <f>_xlfn.CONCAT("Quantity of ",'Coal Gasification'!$C$197, " Sold")</f>
        <v>Quantity of Product 3 Sold</v>
      </c>
      <c r="G354"/>
      <c r="H354">
        <f>IFERROR('Coal Gasification'!$AA$197,0)</f>
        <v>0</v>
      </c>
      <c r="I354" t="s">
        <v>90</v>
      </c>
      <c r="J354"/>
      <c r="K354"/>
      <c r="L354"/>
      <c r="M354"/>
      <c r="N354"/>
      <c r="O354"/>
      <c r="P354"/>
    </row>
    <row r="355" spans="2:16" hidden="1" x14ac:dyDescent="0.25">
      <c r="B355"/>
      <c r="C355"/>
      <c r="D355"/>
      <c r="E355" t="s">
        <v>55</v>
      </c>
      <c r="F355" t="str">
        <f>_xlfn.CONCAT("Quantity of ",'Coal Gasification'!$C$198, " Sold")</f>
        <v>Quantity of Product 4 Sold</v>
      </c>
      <c r="G355"/>
      <c r="H355">
        <f>IFERROR('Coal Gasification'!$AA$198,0)</f>
        <v>0</v>
      </c>
      <c r="I355" t="s">
        <v>90</v>
      </c>
      <c r="J355"/>
      <c r="K355"/>
      <c r="L355"/>
      <c r="M355"/>
      <c r="N355"/>
      <c r="O355"/>
      <c r="P355"/>
    </row>
    <row r="356" spans="2:16" hidden="1" x14ac:dyDescent="0.25">
      <c r="B356"/>
      <c r="C356"/>
      <c r="D356"/>
      <c r="E356" t="s">
        <v>55</v>
      </c>
      <c r="F356" t="str">
        <f>_xlfn.CONCAT("Quantity of ",'Coal Gasification'!$C$205, " Sold")</f>
        <v>Quantity of Product 5 Sold</v>
      </c>
      <c r="G356"/>
      <c r="H356">
        <f>IFERROR('Coal Gasification'!$AA$205,0)</f>
        <v>0</v>
      </c>
      <c r="I356" t="s">
        <v>90</v>
      </c>
      <c r="J356"/>
      <c r="K356"/>
      <c r="L356"/>
      <c r="M356"/>
      <c r="N356"/>
      <c r="O356"/>
      <c r="P356"/>
    </row>
    <row r="357" spans="2:16" hidden="1" x14ac:dyDescent="0.25">
      <c r="B357"/>
      <c r="C357"/>
      <c r="D357"/>
      <c r="E357" t="s">
        <v>55</v>
      </c>
      <c r="F357" t="str">
        <f>_xlfn.CONCAT("Quantity of ",'Coal Gasification'!$C$206, " Sold")</f>
        <v>Quantity of Product 6 Sold</v>
      </c>
      <c r="G357"/>
      <c r="H357">
        <f>IFERROR('Coal Gasification'!$AA$206,0)</f>
        <v>0</v>
      </c>
      <c r="I357" t="s">
        <v>90</v>
      </c>
      <c r="J357"/>
      <c r="K357"/>
      <c r="L357"/>
      <c r="M357"/>
      <c r="N357"/>
      <c r="O357"/>
      <c r="P357"/>
    </row>
    <row r="358" spans="2:16" hidden="1" x14ac:dyDescent="0.25">
      <c r="B358"/>
      <c r="C358"/>
      <c r="D358"/>
      <c r="E358" t="s">
        <v>55</v>
      </c>
      <c r="F358" t="str">
        <f>_xlfn.CONCAT("Quantity of ",'Coal Gasification'!$C$207, " Sold")</f>
        <v>Quantity of Product 7 Sold</v>
      </c>
      <c r="G358"/>
      <c r="H358">
        <f>IFERROR('Coal Gasification'!$AA$207,0)</f>
        <v>0</v>
      </c>
      <c r="I358" t="s">
        <v>90</v>
      </c>
      <c r="J358"/>
      <c r="K358"/>
      <c r="L358"/>
      <c r="M358"/>
      <c r="N358"/>
      <c r="O358"/>
      <c r="P358"/>
    </row>
    <row r="359" spans="2:16" hidden="1" x14ac:dyDescent="0.25">
      <c r="B359"/>
      <c r="C359"/>
      <c r="D359"/>
      <c r="E359"/>
      <c r="F359"/>
      <c r="G359"/>
      <c r="H359"/>
      <c r="J359"/>
      <c r="K359"/>
      <c r="L359"/>
      <c r="M359"/>
      <c r="N359"/>
      <c r="O359"/>
      <c r="P359"/>
    </row>
    <row r="360" spans="2:16" hidden="1" x14ac:dyDescent="0.25">
      <c r="B360"/>
      <c r="C360"/>
      <c r="D360"/>
      <c r="E360"/>
      <c r="F360"/>
      <c r="G360"/>
      <c r="H360"/>
      <c r="J360"/>
      <c r="K360"/>
      <c r="L360"/>
      <c r="M360"/>
      <c r="N360"/>
      <c r="O360"/>
      <c r="P360"/>
    </row>
    <row r="361" spans="2:16" hidden="1" x14ac:dyDescent="0.25">
      <c r="B361"/>
      <c r="C361"/>
      <c r="D361"/>
      <c r="E361" s="1121" t="s">
        <v>479</v>
      </c>
      <c r="F361" s="1121" t="s">
        <v>575</v>
      </c>
      <c r="G361" s="1121" t="s">
        <v>481</v>
      </c>
      <c r="H361" s="1121" t="s">
        <v>482</v>
      </c>
      <c r="I361" s="1121" t="s">
        <v>483</v>
      </c>
      <c r="J361"/>
      <c r="K361"/>
      <c r="L361"/>
      <c r="M361"/>
      <c r="N361"/>
      <c r="O361"/>
      <c r="P361"/>
    </row>
    <row r="362" spans="2:16" hidden="1" x14ac:dyDescent="0.25">
      <c r="B362"/>
      <c r="C362"/>
      <c r="D362"/>
      <c r="E362" t="str">
        <f>'Hidden Lists and Summaries'!$B$5</f>
        <v>Embodied (Upstream)</v>
      </c>
      <c r="F362" t="s">
        <v>214</v>
      </c>
      <c r="G362" t="e">
        <f t="shared" ref="G362:G371" si="11">H362/gasification_hydrogenProductionQuantity</f>
        <v>#N/A</v>
      </c>
      <c r="H362">
        <f>SUMIFS($AH$37:$AH$162,$AL$37:$AL$162,F362)+SUMIFS($AI$37:$AI$162,$AM$37:$AM$162,F362)</f>
        <v>0</v>
      </c>
      <c r="I362" t="s">
        <v>484</v>
      </c>
      <c r="J362"/>
      <c r="K362"/>
      <c r="L362"/>
      <c r="M362"/>
      <c r="N362"/>
      <c r="O362"/>
      <c r="P362"/>
    </row>
    <row r="363" spans="2:16" hidden="1" x14ac:dyDescent="0.25">
      <c r="B363"/>
      <c r="C363"/>
      <c r="D363"/>
      <c r="E363" t="str">
        <f>'Hidden Lists and Summaries'!$B$5</f>
        <v>Embodied (Upstream)</v>
      </c>
      <c r="F363" t="s">
        <v>243</v>
      </c>
      <c r="G363" t="e">
        <f t="shared" si="11"/>
        <v>#N/A</v>
      </c>
      <c r="H363">
        <f>SUMIFS($AH$37:$AH$162,$AL$37:$AL$162,F363)+SUMIFS($AI$37:$AI$162,$AM$37:$AM$162,F363)</f>
        <v>0</v>
      </c>
      <c r="I363" t="s">
        <v>484</v>
      </c>
      <c r="J363"/>
      <c r="K363"/>
      <c r="L363"/>
      <c r="M363"/>
      <c r="N363"/>
      <c r="O363"/>
      <c r="P363"/>
    </row>
    <row r="364" spans="2:16" hidden="1" x14ac:dyDescent="0.25">
      <c r="B364"/>
      <c r="C364"/>
      <c r="D364"/>
      <c r="E364" t="str">
        <f>'Hidden Lists and Summaries'!$B$5</f>
        <v>Embodied (Upstream)</v>
      </c>
      <c r="F364" t="s">
        <v>286</v>
      </c>
      <c r="G364" t="e">
        <f t="shared" si="11"/>
        <v>#N/A</v>
      </c>
      <c r="H364">
        <f>SUMIFS($AH$37:$AH$162,$AL$37:$AL$162,F364)+SUMIFS($AI$37:$AI$162,$AM$37:$AM$162,F364)</f>
        <v>0</v>
      </c>
      <c r="I364" t="s">
        <v>484</v>
      </c>
      <c r="J364"/>
      <c r="K364"/>
      <c r="L364"/>
      <c r="M364"/>
      <c r="N364"/>
      <c r="O364"/>
      <c r="P364"/>
    </row>
    <row r="365" spans="2:16" hidden="1" x14ac:dyDescent="0.25">
      <c r="B365"/>
      <c r="C365"/>
      <c r="D365"/>
      <c r="E365" t="str">
        <f>'Hidden Lists and Summaries'!$B$5</f>
        <v>Embodied (Upstream)</v>
      </c>
      <c r="F365" t="s">
        <v>486</v>
      </c>
      <c r="G365" t="e">
        <f t="shared" si="11"/>
        <v>#N/A</v>
      </c>
      <c r="H365">
        <f>SUMIFS($AH$37:$AH$162,$AL$37:$AL$162,F365)+SUMIFS($AI$37:$AI$162,$AM$37:$AM$162,F365)</f>
        <v>0</v>
      </c>
      <c r="I365"/>
      <c r="J365"/>
      <c r="K365"/>
      <c r="L365"/>
      <c r="M365"/>
      <c r="N365"/>
      <c r="O365"/>
      <c r="P365"/>
    </row>
    <row r="366" spans="2:16" hidden="1" x14ac:dyDescent="0.25">
      <c r="B366"/>
      <c r="C366"/>
      <c r="D366"/>
      <c r="E366" t="str">
        <f>'Hidden Lists and Summaries'!$B$5</f>
        <v>Embodied (Upstream)</v>
      </c>
      <c r="F366" t="s">
        <v>584</v>
      </c>
      <c r="G366" t="e">
        <f t="shared" si="11"/>
        <v>#N/A</v>
      </c>
      <c r="H366">
        <f>SUMIFS($AH$37:$AH$162,$AL$37:$AL$162,F366)+SUMIFS($AI$37:$AI$162,$AM$37:$AM$162,F366)</f>
        <v>0</v>
      </c>
      <c r="I366" t="s">
        <v>484</v>
      </c>
      <c r="J366"/>
      <c r="K366"/>
      <c r="L366"/>
      <c r="M366"/>
      <c r="N366"/>
      <c r="O366"/>
      <c r="P366"/>
    </row>
    <row r="367" spans="2:16" hidden="1" x14ac:dyDescent="0.25">
      <c r="B367"/>
      <c r="C367"/>
      <c r="D367"/>
      <c r="E367" t="str">
        <f>'Hidden Lists and Summaries'!B6</f>
        <v>Steam Supply</v>
      </c>
      <c r="F367"/>
      <c r="G367" t="e">
        <f t="shared" si="11"/>
        <v>#N/A</v>
      </c>
      <c r="H367">
        <f t="shared" ref="H367:H372" si="12">SUMIFS($AH$37:$AH$162,$AJ$37:$AJ$162,E367)+SUMIFS($AI$37:$AI$162,$AK$37:$AK$162,E367)</f>
        <v>0</v>
      </c>
      <c r="I367" t="s">
        <v>487</v>
      </c>
      <c r="J367"/>
      <c r="K367"/>
      <c r="L367"/>
      <c r="M367"/>
      <c r="N367"/>
      <c r="O367"/>
      <c r="P367"/>
    </row>
    <row r="368" spans="2:16" hidden="1" x14ac:dyDescent="0.25">
      <c r="B368"/>
      <c r="C368"/>
      <c r="D368"/>
      <c r="E368" t="str">
        <f>'Hidden Lists and Summaries'!B7</f>
        <v>Electricity Supply</v>
      </c>
      <c r="F368"/>
      <c r="G368" t="e">
        <f t="shared" si="11"/>
        <v>#N/A</v>
      </c>
      <c r="H368">
        <f t="shared" si="12"/>
        <v>0</v>
      </c>
      <c r="I368" t="s">
        <v>487</v>
      </c>
      <c r="J368"/>
      <c r="K368"/>
      <c r="L368"/>
      <c r="M368"/>
      <c r="N368"/>
      <c r="O368"/>
      <c r="P368"/>
    </row>
    <row r="369" spans="2:16" hidden="1" x14ac:dyDescent="0.25">
      <c r="B369"/>
      <c r="C369"/>
      <c r="D369"/>
      <c r="E369" t="str">
        <f>'Hidden Lists and Summaries'!B8</f>
        <v>Fuel Combustion</v>
      </c>
      <c r="F369"/>
      <c r="G369" t="e">
        <f t="shared" si="11"/>
        <v>#N/A</v>
      </c>
      <c r="H369">
        <f t="shared" si="12"/>
        <v>0</v>
      </c>
      <c r="I369" t="s">
        <v>487</v>
      </c>
      <c r="J369"/>
      <c r="K369"/>
      <c r="L369"/>
      <c r="M369"/>
      <c r="N369"/>
      <c r="O369"/>
      <c r="P369"/>
    </row>
    <row r="370" spans="2:16" hidden="1" x14ac:dyDescent="0.25">
      <c r="B370"/>
      <c r="C370"/>
      <c r="D370"/>
      <c r="E370" t="str">
        <f>'Hidden Lists and Summaries'!B9</f>
        <v>Industrial Process</v>
      </c>
      <c r="F370"/>
      <c r="G370" t="e">
        <f t="shared" si="11"/>
        <v>#N/A</v>
      </c>
      <c r="H370">
        <f t="shared" si="12"/>
        <v>0</v>
      </c>
      <c r="I370" t="s">
        <v>487</v>
      </c>
      <c r="J370"/>
      <c r="K370"/>
      <c r="L370"/>
      <c r="M370"/>
      <c r="N370"/>
      <c r="O370"/>
      <c r="P370"/>
    </row>
    <row r="371" spans="2:16" hidden="1" x14ac:dyDescent="0.25">
      <c r="B371"/>
      <c r="C371"/>
      <c r="D371"/>
      <c r="E371" t="str">
        <f>'Hidden Lists and Summaries'!B10</f>
        <v>Accrued</v>
      </c>
      <c r="F371"/>
      <c r="G371" t="e">
        <f t="shared" si="11"/>
        <v>#N/A</v>
      </c>
      <c r="H371">
        <f t="shared" si="12"/>
        <v>0</v>
      </c>
      <c r="I371" t="s">
        <v>487</v>
      </c>
      <c r="J371"/>
      <c r="K371"/>
      <c r="L371"/>
      <c r="M371"/>
      <c r="N371"/>
      <c r="O371"/>
      <c r="P371"/>
    </row>
    <row r="372" spans="2:16" hidden="1" x14ac:dyDescent="0.25">
      <c r="B372"/>
      <c r="C372"/>
      <c r="D372"/>
      <c r="E372" t="str">
        <f>'Hidden Lists and Summaries'!B11</f>
        <v>Fugitive</v>
      </c>
      <c r="F372"/>
      <c r="G372" t="e">
        <f t="shared" ref="G372" si="13">H372/gasification_hydrogenProductionQuantity</f>
        <v>#N/A</v>
      </c>
      <c r="H372" t="e">
        <f t="shared" si="12"/>
        <v>#N/A</v>
      </c>
      <c r="I372" t="s">
        <v>487</v>
      </c>
      <c r="J372"/>
      <c r="K372"/>
      <c r="L372"/>
      <c r="M372"/>
      <c r="N372"/>
      <c r="O372"/>
      <c r="P372"/>
    </row>
    <row r="373" spans="2:16" hidden="1" x14ac:dyDescent="0.25">
      <c r="B373"/>
      <c r="C373"/>
      <c r="D373"/>
      <c r="E373" t="s">
        <v>488</v>
      </c>
      <c r="F373"/>
      <c r="G373" t="e">
        <f t="shared" ref="G373:G383" si="14">H373/gasification_hydrogenProductionQuantity</f>
        <v>#N/A</v>
      </c>
      <c r="H373" s="227">
        <f>SUM(Y150:Y152)</f>
        <v>0</v>
      </c>
      <c r="I373" t="s">
        <v>487</v>
      </c>
      <c r="J373"/>
      <c r="K373"/>
      <c r="L373"/>
      <c r="M373"/>
      <c r="N373"/>
      <c r="O373"/>
      <c r="P373"/>
    </row>
    <row r="374" spans="2:16" hidden="1" x14ac:dyDescent="0.25">
      <c r="B374"/>
      <c r="C374"/>
      <c r="D374"/>
      <c r="E374" s="705" t="s">
        <v>374</v>
      </c>
      <c r="G374" t="e">
        <f t="shared" si="14"/>
        <v>#N/A</v>
      </c>
      <c r="H374">
        <f>O170</f>
        <v>0</v>
      </c>
      <c r="I374" t="s">
        <v>489</v>
      </c>
      <c r="J374"/>
      <c r="K374"/>
      <c r="L374"/>
      <c r="M374"/>
      <c r="N374"/>
      <c r="O374"/>
      <c r="P374"/>
    </row>
    <row r="375" spans="2:16" hidden="1" x14ac:dyDescent="0.25">
      <c r="B375"/>
      <c r="C375"/>
      <c r="D375"/>
      <c r="E375" s="704" t="s">
        <v>375</v>
      </c>
      <c r="G375" t="e">
        <f t="shared" si="14"/>
        <v>#N/A</v>
      </c>
      <c r="H375">
        <f>O179</f>
        <v>0</v>
      </c>
      <c r="I375" t="s">
        <v>489</v>
      </c>
      <c r="J375"/>
      <c r="K375"/>
      <c r="L375"/>
      <c r="M375"/>
      <c r="N375"/>
      <c r="O375"/>
      <c r="P375"/>
    </row>
    <row r="376" spans="2:16" hidden="1" x14ac:dyDescent="0.25">
      <c r="B376"/>
      <c r="C376"/>
      <c r="D376"/>
      <c r="E376" s="705" t="s">
        <v>490</v>
      </c>
      <c r="G376" t="e">
        <f t="shared" si="14"/>
        <v>#N/A</v>
      </c>
      <c r="H376">
        <f>Y148</f>
        <v>0</v>
      </c>
      <c r="I376"/>
      <c r="J376"/>
      <c r="K376"/>
      <c r="L376"/>
      <c r="M376"/>
      <c r="N376"/>
      <c r="O376"/>
      <c r="P376"/>
    </row>
    <row r="377" spans="2:16" hidden="1" x14ac:dyDescent="0.25">
      <c r="B377"/>
      <c r="C377"/>
      <c r="D377"/>
      <c r="E377" s="704" t="s">
        <v>377</v>
      </c>
      <c r="G377" t="e">
        <f t="shared" si="14"/>
        <v>#N/A</v>
      </c>
      <c r="H377">
        <f>O186</f>
        <v>0</v>
      </c>
      <c r="I377" t="s">
        <v>489</v>
      </c>
      <c r="J377"/>
      <c r="K377"/>
      <c r="L377"/>
      <c r="M377"/>
      <c r="N377"/>
      <c r="O377"/>
      <c r="P377"/>
    </row>
    <row r="378" spans="2:16" hidden="1" x14ac:dyDescent="0.25">
      <c r="B378"/>
      <c r="C378"/>
      <c r="D378"/>
      <c r="E378" t="s">
        <v>378</v>
      </c>
      <c r="G378" t="e">
        <f t="shared" si="14"/>
        <v>#N/A</v>
      </c>
      <c r="H378">
        <f>O187</f>
        <v>0</v>
      </c>
      <c r="I378" t="s">
        <v>489</v>
      </c>
      <c r="J378"/>
      <c r="K378"/>
      <c r="L378"/>
      <c r="M378"/>
      <c r="N378"/>
      <c r="O378"/>
      <c r="P378"/>
    </row>
    <row r="379" spans="2:16" hidden="1" x14ac:dyDescent="0.25">
      <c r="B379"/>
      <c r="C379"/>
      <c r="D379"/>
      <c r="E379" t="s">
        <v>379</v>
      </c>
      <c r="G379" t="e">
        <f t="shared" si="14"/>
        <v>#N/A</v>
      </c>
      <c r="H379">
        <f>O188</f>
        <v>0</v>
      </c>
      <c r="I379" t="s">
        <v>489</v>
      </c>
      <c r="J379"/>
      <c r="K379"/>
      <c r="L379"/>
      <c r="M379"/>
      <c r="N379"/>
      <c r="O379"/>
      <c r="P379"/>
    </row>
    <row r="380" spans="2:16" hidden="1" x14ac:dyDescent="0.25">
      <c r="B380"/>
      <c r="C380"/>
      <c r="D380"/>
      <c r="E380" t="s">
        <v>380</v>
      </c>
      <c r="G380" t="e">
        <f t="shared" si="14"/>
        <v>#N/A</v>
      </c>
      <c r="H380">
        <f>O199</f>
        <v>0</v>
      </c>
      <c r="I380" t="s">
        <v>489</v>
      </c>
      <c r="J380"/>
      <c r="K380"/>
      <c r="L380"/>
      <c r="M380"/>
      <c r="N380"/>
      <c r="O380"/>
      <c r="P380"/>
    </row>
    <row r="381" spans="2:16" hidden="1" x14ac:dyDescent="0.25">
      <c r="B381"/>
      <c r="C381"/>
      <c r="D381"/>
      <c r="E381" t="s">
        <v>381</v>
      </c>
      <c r="G381" t="e">
        <f t="shared" si="14"/>
        <v>#N/A</v>
      </c>
      <c r="H381">
        <f>O208</f>
        <v>0</v>
      </c>
      <c r="I381" t="s">
        <v>489</v>
      </c>
      <c r="J381"/>
      <c r="K381"/>
      <c r="L381"/>
      <c r="M381"/>
      <c r="N381"/>
      <c r="O381"/>
      <c r="P381"/>
    </row>
    <row r="382" spans="2:16" hidden="1" x14ac:dyDescent="0.25">
      <c r="B382"/>
      <c r="C382"/>
      <c r="D382"/>
      <c r="E382" t="s">
        <v>382</v>
      </c>
      <c r="G382" t="e">
        <f t="shared" si="14"/>
        <v>#N/A</v>
      </c>
      <c r="H382" s="227">
        <f>Y149</f>
        <v>0</v>
      </c>
      <c r="I382" t="s">
        <v>489</v>
      </c>
      <c r="J382"/>
      <c r="K382"/>
      <c r="L382"/>
      <c r="M382"/>
      <c r="N382"/>
      <c r="O382"/>
      <c r="P382"/>
    </row>
    <row r="383" spans="2:16" hidden="1" x14ac:dyDescent="0.25">
      <c r="B383"/>
      <c r="C383"/>
      <c r="D383"/>
      <c r="E383" t="s">
        <v>384</v>
      </c>
      <c r="G383" t="e">
        <f t="shared" si="14"/>
        <v>#N/A</v>
      </c>
      <c r="H383">
        <f>O224</f>
        <v>0</v>
      </c>
      <c r="I383"/>
      <c r="J383"/>
      <c r="K383"/>
      <c r="L383"/>
      <c r="M383"/>
      <c r="N383"/>
      <c r="O383"/>
      <c r="P383"/>
    </row>
    <row r="384" spans="2:16" hidden="1" x14ac:dyDescent="0.25">
      <c r="B384"/>
      <c r="C384"/>
      <c r="D384"/>
      <c r="E384" t="s">
        <v>491</v>
      </c>
      <c r="F384"/>
      <c r="G384" t="e">
        <f>H384/gasification_hydrogenProductionQuantity</f>
        <v>#N/A</v>
      </c>
      <c r="H384" s="227">
        <f>production_transport_emissions</f>
        <v>0</v>
      </c>
      <c r="I384" t="s">
        <v>492</v>
      </c>
      <c r="J384"/>
      <c r="K384"/>
      <c r="L384"/>
      <c r="M384"/>
      <c r="N384"/>
      <c r="O384"/>
      <c r="P384"/>
    </row>
    <row r="385" spans="2:16" hidden="1" x14ac:dyDescent="0.25">
      <c r="B385"/>
      <c r="C385"/>
      <c r="D385"/>
      <c r="E385" t="s">
        <v>493</v>
      </c>
      <c r="F385"/>
      <c r="G385" t="e">
        <f>H385/gasification_hydrogenProductionQuantity</f>
        <v>#N/A</v>
      </c>
      <c r="H385" s="227">
        <f>production_storage_emissions</f>
        <v>0</v>
      </c>
      <c r="I385" t="s">
        <v>492</v>
      </c>
      <c r="J385"/>
      <c r="K385"/>
      <c r="L385"/>
      <c r="M385"/>
      <c r="N385"/>
      <c r="O385"/>
      <c r="P385"/>
    </row>
    <row r="386" spans="2:16" hidden="1" x14ac:dyDescent="0.25">
      <c r="B386"/>
      <c r="C386"/>
      <c r="D386"/>
      <c r="E386" t="s">
        <v>383</v>
      </c>
      <c r="F386"/>
      <c r="G386" t="e">
        <f>H386/gasification_hydrogenProductionQuantity</f>
        <v>#N/A</v>
      </c>
      <c r="H386" s="227">
        <f>O217</f>
        <v>0</v>
      </c>
      <c r="I386" t="s">
        <v>489</v>
      </c>
      <c r="J386"/>
      <c r="K386"/>
      <c r="L386"/>
      <c r="M386"/>
      <c r="N386"/>
      <c r="O386"/>
      <c r="P386"/>
    </row>
    <row r="387" spans="2:16" hidden="1" x14ac:dyDescent="0.25">
      <c r="B387"/>
      <c r="C387"/>
      <c r="D387"/>
      <c r="E387" t="s">
        <v>494</v>
      </c>
      <c r="F387"/>
      <c r="G387" s="1566"/>
      <c r="H387" s="227">
        <f>'Transport &amp; Storage - Hydrogen'!$H$121+'Transport &amp; Storage - Hydrogen'!$H$122</f>
        <v>0</v>
      </c>
      <c r="I387" s="1118" t="s">
        <v>495</v>
      </c>
      <c r="J387"/>
      <c r="K387"/>
      <c r="L387"/>
      <c r="M387"/>
      <c r="N387"/>
      <c r="O387"/>
      <c r="P387"/>
    </row>
    <row r="388" spans="2:16" hidden="1" x14ac:dyDescent="0.25">
      <c r="B388"/>
      <c r="C388"/>
      <c r="D388"/>
      <c r="E388" t="s">
        <v>496</v>
      </c>
      <c r="F388"/>
      <c r="G388" s="1566"/>
      <c r="H388" s="227">
        <f>'Transport &amp; Storage - Hydrogen'!$H$123</f>
        <v>0</v>
      </c>
      <c r="I388" s="1118" t="s">
        <v>495</v>
      </c>
      <c r="J388"/>
      <c r="K388"/>
      <c r="L388"/>
      <c r="M388"/>
      <c r="N388"/>
      <c r="O388"/>
      <c r="P388"/>
    </row>
    <row r="389" spans="2:16" hidden="1" x14ac:dyDescent="0.25">
      <c r="B389"/>
      <c r="C389"/>
      <c r="D389"/>
      <c r="E389"/>
      <c r="F389"/>
      <c r="G389"/>
      <c r="H389"/>
      <c r="J389"/>
      <c r="K389"/>
      <c r="L389"/>
      <c r="M389"/>
      <c r="N389"/>
      <c r="O389"/>
      <c r="P389"/>
    </row>
    <row r="390" spans="2:16" hidden="1" x14ac:dyDescent="0.25">
      <c r="B390"/>
      <c r="C390"/>
      <c r="D390"/>
      <c r="E390"/>
      <c r="F390"/>
      <c r="G390"/>
      <c r="H390"/>
      <c r="J390"/>
      <c r="K390"/>
      <c r="L390"/>
      <c r="M390"/>
      <c r="N390"/>
      <c r="O390"/>
      <c r="P390"/>
    </row>
    <row r="391" spans="2:16" hidden="1" x14ac:dyDescent="0.25">
      <c r="B391"/>
      <c r="C391"/>
      <c r="D391"/>
      <c r="E391"/>
      <c r="F391"/>
      <c r="G391"/>
      <c r="H391"/>
      <c r="J391"/>
      <c r="K391"/>
      <c r="L391"/>
      <c r="M391"/>
      <c r="N391"/>
      <c r="O391"/>
      <c r="P391"/>
    </row>
    <row r="392" spans="2:16" hidden="1" x14ac:dyDescent="0.25">
      <c r="B392"/>
      <c r="C392"/>
      <c r="D392"/>
      <c r="E392"/>
      <c r="F392"/>
      <c r="G392"/>
      <c r="H392"/>
      <c r="J392"/>
      <c r="K392"/>
      <c r="L392"/>
      <c r="M392"/>
      <c r="N392"/>
      <c r="O392"/>
      <c r="P392"/>
    </row>
    <row r="393" spans="2:16" hidden="1" x14ac:dyDescent="0.25">
      <c r="B393"/>
      <c r="C393"/>
      <c r="D393"/>
      <c r="E393"/>
      <c r="F393"/>
      <c r="G393"/>
      <c r="H393"/>
      <c r="J393"/>
      <c r="K393"/>
      <c r="L393"/>
      <c r="M393"/>
      <c r="N393"/>
      <c r="O393"/>
      <c r="P393"/>
    </row>
    <row r="394" spans="2:16" hidden="1" x14ac:dyDescent="0.25">
      <c r="B394"/>
      <c r="C394"/>
      <c r="D394"/>
      <c r="E394"/>
      <c r="F394"/>
      <c r="G394"/>
      <c r="H394"/>
      <c r="J394"/>
      <c r="K394"/>
      <c r="L394"/>
      <c r="M394"/>
      <c r="N394"/>
      <c r="O394"/>
      <c r="P394"/>
    </row>
    <row r="395" spans="2:16" hidden="1" x14ac:dyDescent="0.25">
      <c r="B395"/>
      <c r="C395"/>
      <c r="D395"/>
      <c r="E395"/>
      <c r="F395"/>
      <c r="G395"/>
      <c r="H395"/>
      <c r="J395"/>
      <c r="K395"/>
      <c r="L395"/>
      <c r="M395"/>
      <c r="N395"/>
      <c r="O395"/>
      <c r="P395"/>
    </row>
    <row r="396" spans="2:16" hidden="1" x14ac:dyDescent="0.25">
      <c r="B396"/>
      <c r="C396"/>
      <c r="D396"/>
      <c r="E396"/>
      <c r="F396"/>
      <c r="G396"/>
      <c r="H396"/>
      <c r="J396"/>
      <c r="K396"/>
      <c r="L396"/>
      <c r="M396"/>
      <c r="N396"/>
      <c r="O396"/>
      <c r="P396"/>
    </row>
    <row r="397" spans="2:16" hidden="1" x14ac:dyDescent="0.25">
      <c r="B397"/>
      <c r="C397"/>
      <c r="D397"/>
      <c r="E397"/>
      <c r="F397"/>
      <c r="G397"/>
      <c r="H397"/>
      <c r="J397"/>
      <c r="K397"/>
      <c r="L397"/>
      <c r="M397"/>
      <c r="N397"/>
      <c r="O397"/>
      <c r="P397"/>
    </row>
    <row r="398" spans="2:16" hidden="1" x14ac:dyDescent="0.25">
      <c r="B398"/>
      <c r="C398"/>
      <c r="D398"/>
      <c r="E398"/>
      <c r="F398"/>
      <c r="G398"/>
      <c r="H398"/>
      <c r="J398"/>
      <c r="K398"/>
      <c r="L398"/>
      <c r="M398"/>
      <c r="N398"/>
      <c r="O398"/>
      <c r="P398"/>
    </row>
    <row r="399" spans="2:16" hidden="1" x14ac:dyDescent="0.25">
      <c r="B399"/>
      <c r="C399"/>
      <c r="D399"/>
      <c r="E399"/>
      <c r="F399"/>
      <c r="G399"/>
      <c r="H399"/>
      <c r="J399"/>
      <c r="K399"/>
      <c r="L399"/>
      <c r="M399"/>
      <c r="N399"/>
      <c r="O399"/>
      <c r="P399"/>
    </row>
    <row r="400" spans="2:16" hidden="1" x14ac:dyDescent="0.25">
      <c r="B400"/>
      <c r="C400"/>
      <c r="D400"/>
      <c r="E400"/>
      <c r="F400"/>
      <c r="G400"/>
      <c r="H400"/>
      <c r="J400"/>
      <c r="K400"/>
      <c r="L400"/>
      <c r="M400"/>
      <c r="N400"/>
      <c r="O400"/>
      <c r="P400"/>
    </row>
    <row r="401" spans="2:16" hidden="1" x14ac:dyDescent="0.25">
      <c r="B401"/>
      <c r="C401"/>
      <c r="D401"/>
      <c r="E401"/>
      <c r="F401"/>
      <c r="G401"/>
      <c r="H401"/>
      <c r="J401"/>
      <c r="K401"/>
      <c r="L401"/>
      <c r="M401"/>
      <c r="N401"/>
      <c r="O401"/>
      <c r="P401"/>
    </row>
    <row r="402" spans="2:16" hidden="1" x14ac:dyDescent="0.25">
      <c r="B402"/>
      <c r="C402"/>
      <c r="D402"/>
      <c r="E402"/>
      <c r="F402"/>
      <c r="G402"/>
      <c r="H402"/>
      <c r="J402"/>
      <c r="K402"/>
      <c r="L402"/>
      <c r="M402"/>
      <c r="N402"/>
      <c r="O402"/>
      <c r="P402"/>
    </row>
    <row r="403" spans="2:16" hidden="1" x14ac:dyDescent="0.25">
      <c r="B403"/>
      <c r="C403"/>
      <c r="D403"/>
      <c r="E403"/>
      <c r="F403"/>
      <c r="G403"/>
      <c r="H403"/>
      <c r="J403"/>
      <c r="K403"/>
      <c r="L403"/>
      <c r="M403"/>
      <c r="N403"/>
      <c r="O403"/>
      <c r="P403"/>
    </row>
    <row r="404" spans="2:16" hidden="1" x14ac:dyDescent="0.25">
      <c r="B404"/>
      <c r="C404"/>
      <c r="D404"/>
      <c r="E404"/>
      <c r="F404"/>
      <c r="G404"/>
      <c r="H404"/>
      <c r="J404"/>
      <c r="K404"/>
      <c r="L404"/>
      <c r="M404"/>
      <c r="N404"/>
      <c r="O404"/>
      <c r="P404"/>
    </row>
    <row r="405" spans="2:16" hidden="1" x14ac:dyDescent="0.25">
      <c r="B405"/>
      <c r="C405"/>
      <c r="D405"/>
      <c r="E405"/>
      <c r="F405"/>
      <c r="G405"/>
      <c r="H405"/>
      <c r="J405"/>
      <c r="K405"/>
      <c r="L405"/>
      <c r="M405"/>
      <c r="N405"/>
      <c r="O405"/>
      <c r="P405"/>
    </row>
    <row r="406" spans="2:16" hidden="1" x14ac:dyDescent="0.25">
      <c r="B406"/>
      <c r="C406"/>
      <c r="D406"/>
      <c r="E406"/>
      <c r="F406"/>
      <c r="G406"/>
      <c r="H406"/>
      <c r="J406"/>
      <c r="K406"/>
      <c r="L406"/>
      <c r="M406"/>
      <c r="N406"/>
      <c r="O406"/>
      <c r="P406"/>
    </row>
    <row r="407" spans="2:16" hidden="1" x14ac:dyDescent="0.25">
      <c r="B407"/>
      <c r="C407"/>
      <c r="D407"/>
      <c r="E407"/>
      <c r="F407"/>
      <c r="G407"/>
      <c r="H407"/>
      <c r="J407"/>
      <c r="K407"/>
      <c r="L407"/>
      <c r="M407"/>
      <c r="N407"/>
      <c r="O407"/>
      <c r="P407"/>
    </row>
    <row r="408" spans="2:16" hidden="1" x14ac:dyDescent="0.25">
      <c r="B408"/>
      <c r="C408"/>
      <c r="D408"/>
      <c r="E408"/>
      <c r="F408"/>
      <c r="G408"/>
      <c r="H408"/>
      <c r="J408"/>
      <c r="K408"/>
      <c r="L408"/>
      <c r="M408"/>
      <c r="N408"/>
      <c r="O408"/>
      <c r="P408"/>
    </row>
    <row r="409" spans="2:16" hidden="1" x14ac:dyDescent="0.25">
      <c r="B409"/>
      <c r="C409"/>
      <c r="D409"/>
      <c r="E409"/>
      <c r="F409"/>
      <c r="G409"/>
      <c r="H409"/>
      <c r="J409"/>
      <c r="K409"/>
      <c r="L409"/>
      <c r="M409"/>
      <c r="N409"/>
      <c r="O409"/>
      <c r="P409"/>
    </row>
    <row r="410" spans="2:16" hidden="1" x14ac:dyDescent="0.25">
      <c r="B410"/>
      <c r="C410"/>
      <c r="D410"/>
      <c r="E410"/>
      <c r="F410"/>
      <c r="G410"/>
      <c r="H410"/>
      <c r="J410"/>
      <c r="K410"/>
      <c r="L410"/>
      <c r="M410"/>
      <c r="N410"/>
      <c r="O410"/>
      <c r="P410"/>
    </row>
    <row r="411" spans="2:16" hidden="1" x14ac:dyDescent="0.25">
      <c r="B411"/>
      <c r="C411"/>
      <c r="D411"/>
      <c r="E411"/>
      <c r="F411"/>
      <c r="G411"/>
      <c r="H411"/>
      <c r="J411"/>
      <c r="K411"/>
      <c r="L411"/>
      <c r="M411"/>
      <c r="N411"/>
      <c r="O411"/>
      <c r="P411"/>
    </row>
    <row r="412" spans="2:16" hidden="1" x14ac:dyDescent="0.25">
      <c r="B412"/>
      <c r="C412"/>
      <c r="D412"/>
      <c r="E412"/>
      <c r="F412"/>
      <c r="G412"/>
      <c r="H412"/>
      <c r="J412"/>
      <c r="K412"/>
      <c r="L412"/>
      <c r="M412"/>
      <c r="N412"/>
      <c r="O412"/>
      <c r="P412"/>
    </row>
    <row r="413" spans="2:16" hidden="1" x14ac:dyDescent="0.25">
      <c r="B413"/>
      <c r="C413"/>
      <c r="D413"/>
      <c r="E413"/>
      <c r="F413"/>
      <c r="G413"/>
      <c r="H413"/>
    </row>
    <row r="414" spans="2:16" hidden="1" x14ac:dyDescent="0.25">
      <c r="B414"/>
      <c r="C414"/>
      <c r="D414"/>
      <c r="E414"/>
      <c r="F414"/>
      <c r="G414"/>
      <c r="H414"/>
    </row>
    <row r="415" spans="2:16" hidden="1" x14ac:dyDescent="0.25">
      <c r="B415"/>
      <c r="C415"/>
      <c r="D415"/>
      <c r="E415"/>
      <c r="F415"/>
      <c r="G415"/>
      <c r="H415"/>
    </row>
    <row r="416" spans="2:16" hidden="1" x14ac:dyDescent="0.25">
      <c r="B416"/>
      <c r="C416"/>
      <c r="D416"/>
      <c r="E416"/>
      <c r="F416"/>
      <c r="G416"/>
      <c r="H416"/>
    </row>
    <row r="417" spans="5:8" hidden="1" x14ac:dyDescent="0.25">
      <c r="E417"/>
      <c r="F417"/>
      <c r="G417"/>
      <c r="H417"/>
    </row>
    <row r="418" spans="5:8" hidden="1" x14ac:dyDescent="0.25">
      <c r="E418"/>
      <c r="F418"/>
      <c r="G418"/>
      <c r="H418"/>
    </row>
    <row r="419" spans="5:8" hidden="1" x14ac:dyDescent="0.25">
      <c r="E419"/>
      <c r="F419"/>
      <c r="G419"/>
      <c r="H419"/>
    </row>
    <row r="420" spans="5:8" hidden="1" x14ac:dyDescent="0.25">
      <c r="E420"/>
      <c r="F420"/>
      <c r="G420"/>
      <c r="H420"/>
    </row>
    <row r="421" spans="5:8" hidden="1" x14ac:dyDescent="0.25">
      <c r="E421"/>
      <c r="F421"/>
      <c r="G421"/>
      <c r="H421"/>
    </row>
    <row r="422" spans="5:8" hidden="1" x14ac:dyDescent="0.25">
      <c r="E422"/>
      <c r="F422"/>
      <c r="G422"/>
      <c r="H422"/>
    </row>
    <row r="423" spans="5:8" hidden="1" x14ac:dyDescent="0.25">
      <c r="E423"/>
      <c r="F423"/>
      <c r="G423"/>
      <c r="H423"/>
    </row>
    <row r="424" spans="5:8" hidden="1" x14ac:dyDescent="0.25">
      <c r="E424"/>
      <c r="F424"/>
      <c r="G424"/>
      <c r="H424"/>
    </row>
    <row r="425" spans="5:8" hidden="1" x14ac:dyDescent="0.25">
      <c r="E425"/>
      <c r="F425"/>
      <c r="G425"/>
      <c r="H425"/>
    </row>
    <row r="426" spans="5:8" hidden="1" x14ac:dyDescent="0.25">
      <c r="E426"/>
      <c r="F426"/>
      <c r="G426"/>
      <c r="H426"/>
    </row>
    <row r="427" spans="5:8" hidden="1" x14ac:dyDescent="0.25">
      <c r="E427"/>
      <c r="F427"/>
      <c r="G427"/>
      <c r="H427"/>
    </row>
    <row r="428" spans="5:8" hidden="1" x14ac:dyDescent="0.25">
      <c r="E428"/>
      <c r="F428"/>
      <c r="G428"/>
      <c r="H428"/>
    </row>
    <row r="429" spans="5:8" hidden="1" x14ac:dyDescent="0.25">
      <c r="E429"/>
      <c r="F429"/>
      <c r="G429"/>
      <c r="H429"/>
    </row>
    <row r="430" spans="5:8" hidden="1" x14ac:dyDescent="0.25">
      <c r="E430"/>
      <c r="F430"/>
      <c r="G430"/>
      <c r="H430"/>
    </row>
  </sheetData>
  <sheetProtection sheet="1" selectLockedCells="1"/>
  <mergeCells count="38">
    <mergeCell ref="B3:Q3"/>
    <mergeCell ref="AL35:AL36"/>
    <mergeCell ref="AM35:AM36"/>
    <mergeCell ref="AH33:AM34"/>
    <mergeCell ref="Y317:Z317"/>
    <mergeCell ref="AA267:AB267"/>
    <mergeCell ref="AA268:AB268"/>
    <mergeCell ref="Y285:Z285"/>
    <mergeCell ref="AA289:AB289"/>
    <mergeCell ref="AA290:AB290"/>
    <mergeCell ref="Y291:Z291"/>
    <mergeCell ref="Y292:Z292"/>
    <mergeCell ref="Y301:Z301"/>
    <mergeCell ref="Y302:Z302"/>
    <mergeCell ref="Y316:Z316"/>
    <mergeCell ref="C202:C203"/>
    <mergeCell ref="C54:C55"/>
    <mergeCell ref="H91:K91"/>
    <mergeCell ref="I31:I32"/>
    <mergeCell ref="AH35:AH36"/>
    <mergeCell ref="K92:K93"/>
    <mergeCell ref="H66:H67"/>
    <mergeCell ref="J92:J93"/>
    <mergeCell ref="I92:I93"/>
    <mergeCell ref="H75:H76"/>
    <mergeCell ref="AK35:AK36"/>
    <mergeCell ref="G85:G86"/>
    <mergeCell ref="H85:H86"/>
    <mergeCell ref="H40:H41"/>
    <mergeCell ref="AI35:AI36"/>
    <mergeCell ref="F220:F221"/>
    <mergeCell ref="K116:K117"/>
    <mergeCell ref="F116:F117"/>
    <mergeCell ref="J116:J117"/>
    <mergeCell ref="AJ35:AJ36"/>
    <mergeCell ref="H202:H203"/>
    <mergeCell ref="H182:H183"/>
    <mergeCell ref="F202:F203"/>
  </mergeCells>
  <phoneticPr fontId="3" type="noConversion"/>
  <conditionalFormatting sqref="G88">
    <cfRule type="expression" dxfId="224" priority="1">
      <formula>NOT(ISNUMBER($Y88))</formula>
    </cfRule>
  </conditionalFormatting>
  <conditionalFormatting sqref="H95:H99">
    <cfRule type="expression" dxfId="223" priority="348">
      <formula>AND(NOT(ISNUMBER(AC95)),$F95&lt;&gt;"")</formula>
    </cfRule>
  </conditionalFormatting>
  <conditionalFormatting sqref="I40:I41">
    <cfRule type="expression" dxfId="222" priority="3">
      <formula>($H$43&lt;&gt;"")</formula>
    </cfRule>
  </conditionalFormatting>
  <conditionalFormatting sqref="I43">
    <cfRule type="expression" dxfId="221" priority="2">
      <formula>($H$43&lt;&gt;"")</formula>
    </cfRule>
  </conditionalFormatting>
  <conditionalFormatting sqref="K95:K99">
    <cfRule type="expression" dxfId="210" priority="349">
      <formula>AND(NOT(ISNUMBER($AB95)),$F95&lt;&gt;"")</formula>
    </cfRule>
  </conditionalFormatting>
  <conditionalFormatting sqref="K116">
    <cfRule type="expression" dxfId="209" priority="40">
      <formula>NOT(ISBLANK($H$121))</formula>
    </cfRule>
  </conditionalFormatting>
  <conditionalFormatting sqref="K121">
    <cfRule type="expression" dxfId="208" priority="41">
      <formula>ISBLANK($H$121)</formula>
    </cfRule>
    <cfRule type="expression" dxfId="207" priority="56">
      <formula>NOT(ISBLANK($H$121))</formula>
    </cfRule>
  </conditionalFormatting>
  <dataValidations xWindow="1795" yWindow="785" count="35">
    <dataValidation allowBlank="1" showDropDown="1" showInputMessage="1" showErrorMessage="1" sqref="Y195:Y198 AE50:AE54 C54 C50" xr:uid="{E2B253D0-BDF0-4B81-9DEE-5F2762A419F0}"/>
    <dataValidation type="decimal" allowBlank="1" showInputMessage="1" showErrorMessage="1" sqref="I101 K121" xr:uid="{029FD521-1EBE-4EAB-BB76-B78F254E49A3}">
      <formula1>0</formula1>
      <formula2>1</formula2>
    </dataValidation>
    <dataValidation type="decimal" operator="greaterThanOrEqual" allowBlank="1" showInputMessage="1" showErrorMessage="1" sqref="E195:E198 F223:F224 G106:G112 E176:E178 F43 J34:J36 G159:G162 E169 H78:H81 F78:F81 E205:E207 G34:G36 G95:G99 E186:E188 G195:G198 H205:H207 F69:F71 E147:E152" xr:uid="{46BD98FA-6AB9-4D78-9801-DD8498B0D1CB}">
      <formula1>0</formula1>
    </dataValidation>
    <dataValidation type="decimal" operator="greaterThan" allowBlank="1" showInputMessage="1" showErrorMessage="1" prompt="If no bespoke factor entered, a default will be selected." sqref="K101:L101" xr:uid="{3BFB0707-A9EE-4666-82B3-566C71A007EE}">
      <formula1>0</formula1>
    </dataValidation>
    <dataValidation type="decimal" operator="greaterThanOrEqual" allowBlank="1" showInputMessage="1" showErrorMessage="1" prompt="If mass is unknown, leave blank and enter percentage of gas flared._x000a__x000a_If both mass and percentage cells are left blanks, no flaring is assumed" sqref="H121" xr:uid="{AA8329FA-8408-4BFA-A103-5F0D3472644E}">
      <formula1>0</formula1>
    </dataValidation>
    <dataValidation type="decimal" operator="greaterThanOrEqual" allowBlank="1" showInputMessage="1" showErrorMessage="1" prompt="If no value is entered, a default will be selected. The default value assumes all reaction gases are vented" sqref="F119:F121" xr:uid="{B02AC5EA-CD10-4F4F-9815-81D384B24544}">
      <formula1>0</formula1>
    </dataValidation>
    <dataValidation type="decimal" allowBlank="1" showInputMessage="1" showErrorMessage="1" prompt="Leave blank to use default value." sqref="E129:E131 E133:E135 E137:E139" xr:uid="{A658BF98-4855-41DB-B3DE-14C020A3A64B}">
      <formula1>0</formula1>
      <formula2>1</formula2>
    </dataValidation>
    <dataValidation type="decimal" operator="greaterThanOrEqual" allowBlank="1" showInputMessage="1" showErrorMessage="1" prompt="Leave blank to use default value._x000a_" sqref="H185" xr:uid="{1E7EA93B-96FD-479C-A732-6766477C1864}">
      <formula1>0</formula1>
    </dataValidation>
    <dataValidation allowBlank="1" showInputMessage="1" showErrorMessage="1" prompt="i.e. river water, groundwater, etc." sqref="E43" xr:uid="{4CDD08B6-81D2-4423-A986-3A5C0C134DEF}"/>
    <dataValidation allowBlank="1" showInputMessage="1" showErrorMessage="1" prompt="Inputs may include chemicals, materials, etc." sqref="E78" xr:uid="{4E3FF045-096D-4F5D-9C99-5914CFF69291}"/>
    <dataValidation type="decimal" operator="greaterThanOrEqual" allowBlank="1" showInputMessage="1" showErrorMessage="1" prompt="If no bespoke factor entered, a default will be selected." sqref="I95:J99" xr:uid="{AE3DA2A4-2309-4DF8-AE52-CF68F90E24A3}">
      <formula1>0</formula1>
    </dataValidation>
    <dataValidation type="decimal" operator="greaterThanOrEqual" allowBlank="1" showInputMessage="1" showErrorMessage="1" prompt="If no bespoke factor is entered a default will be selected._x000a__x000a_Note no defaults exist for some fuels. Cell will appear red if no default exists_x000a_" sqref="K95:K99" xr:uid="{27F3A67F-6083-4488-9285-75E23ACC692C}">
      <formula1>0</formula1>
    </dataValidation>
    <dataValidation type="decimal" showInputMessage="1" showErrorMessage="1" error="Quantity sold must be equal to or less than quantity produced." sqref="F176:F178 F186:F188 F195:F198" xr:uid="{89B98888-D8B0-468E-8EE7-78B73205CF2F}">
      <formula1>0</formula1>
      <formula2>E176</formula2>
    </dataValidation>
    <dataValidation type="decimal" operator="greaterThanOrEqual" allowBlank="1" showInputMessage="1" showErrorMessage="1" prompt="Leave blank to use default value" sqref="I34:I36" xr:uid="{285F467D-B66A-4CC0-8F84-47913C396D76}">
      <formula1>0</formula1>
    </dataValidation>
    <dataValidation type="decimal" operator="greaterThanOrEqual" allowBlank="1" showInputMessage="1" showErrorMessage="1" prompt="Value must be entered to use default emission factor" sqref="I43" xr:uid="{1A652E60-CE8A-40CA-A345-5EDB6992B5EC}">
      <formula1>0</formula1>
    </dataValidation>
    <dataValidation allowBlank="1" showInputMessage="1" showErrorMessage="1" prompt="Leave blank to use default value" sqref="H43" xr:uid="{0738D8BF-2450-45EA-B829-F08A63223879}"/>
    <dataValidation allowBlank="1" showInputMessage="1" showErrorMessage="1" prompt="Enter percentage (%) purity at gate" sqref="E26" xr:uid="{E9998BD2-1CC8-4106-BE0C-452F62042FF8}"/>
    <dataValidation type="decimal" operator="greaterThanOrEqual" allowBlank="1" showInputMessage="1" showErrorMessage="1" prompt="Enter quantity of feedstock used for reaction purposes (i.e. excluding feedstock used for electrcity generation or heating)" sqref="E88" xr:uid="{C86BCFC6-ECC2-4502-A2B8-46E76B90AB33}">
      <formula1>0</formula1>
    </dataValidation>
    <dataValidation type="decimal" operator="greaterThanOrEqual" allowBlank="1" showInputMessage="1" showErrorMessage="1" prompt="If no bespoke factor is entered a default will be selected. Note no defaults exist for some fuels." sqref="G88" xr:uid="{BA8D0553-D97E-452D-8B91-E8AF460FE473}">
      <formula1>0</formula1>
    </dataValidation>
    <dataValidation type="decimal" operator="greaterThanOrEqual" allowBlank="1" showInputMessage="1" showErrorMessage="1" prompt="If no bespoke factor is entered a default will be selected." sqref="H88" xr:uid="{8B87542B-A529-43B4-A809-116CBDB05A0A}">
      <formula1>0</formula1>
    </dataValidation>
    <dataValidation type="decimal" allowBlank="1" showInputMessage="1" showErrorMessage="1" prompt="If no bespoke factor is entered a default will be selected. Note no defaults exist for some fuels." sqref="G88" xr:uid="{E3452B8B-8353-4D01-9224-2F30F1467B60}">
      <formula1>0</formula1>
      <formula2>1</formula2>
    </dataValidation>
    <dataValidation type="whole" operator="greaterThanOrEqual" allowBlank="1" showInputMessage="1" showErrorMessage="1" prompt="If no bespoke factor is entered a default will be selected._x000a__x000a_Note no defaults exist for some fuels. Cell will appear red if no default exists" sqref="G88" xr:uid="{DDA724AE-E3D8-456E-82BF-7395CB3F0DF1}">
      <formula1>0</formula1>
    </dataValidation>
    <dataValidation type="list" allowBlank="1" showInputMessage="1" showErrorMessage="1" sqref="F88" xr:uid="{4497DB48-79E0-446E-B79A-70342D8E6D4B}">
      <formula1>Mass_Units_Options</formula1>
    </dataValidation>
    <dataValidation type="decimal" operator="greaterThanOrEqual" showInputMessage="1" showErrorMessage="1" error="Quantity sold must be greater than or equal to 0." sqref="F205:F207" xr:uid="{7E9C92DD-AE47-49FC-AC5C-22597961D9F5}">
      <formula1>0</formula1>
    </dataValidation>
    <dataValidation type="decimal" operator="greaterThanOrEqual" allowBlank="1" showErrorMessage="1" error="Value must be greater than or equal to zero." sqref="E17 E24" xr:uid="{0567337B-C41B-4C1D-8F08-55C09AFEFC24}">
      <formula1>0</formula1>
    </dataValidation>
    <dataValidation allowBlank="1" showInputMessage="1" showErrorMessage="1" prompt="Enter contaminant information, i.e. type and concentration" sqref="E27" xr:uid="{FD3DDA1D-D010-425B-A227-1B8E781EA00B}"/>
    <dataValidation type="decimal" operator="greaterThanOrEqual" allowBlank="1" showInputMessage="1" showErrorMessage="1" error="Value must be greater than or equal to zero." prompt="Input total quantity of steam produced via a Combined Heat and Power system consumed by this process. Value must be less than or equal to the total steam produced via CHP input into 'Electricity Usage' tab." sqref="E61" xr:uid="{50504D99-0BAC-4A29-A18A-6E48FBE17BBF}">
      <formula1>0</formula1>
    </dataValidation>
    <dataValidation type="decimal" operator="greaterThanOrEqual" allowBlank="1" showInputMessage="1" showErrorMessage="1" error="Value must be greater than or equal to zero." prompt="Input total electricity consumption allocated to this process from all electricity sources" sqref="E50" xr:uid="{D9365F9B-D333-420C-B044-5525E0532005}">
      <formula1>0</formula1>
    </dataValidation>
    <dataValidation type="decimal" operator="greaterThanOrEqual" allowBlank="1" showInputMessage="1" showErrorMessage="1" error="Value must be greater than or equal to zero." prompt="Input total quantity of renewable electricity allocated to this process. Value must be less than or equal to the total renewable electricity input into 'Electricity Usage' tab." sqref="E51" xr:uid="{EC42E979-146E-41C5-9EF5-9B0F89B0AFEE}">
      <formula1>0</formula1>
    </dataValidation>
    <dataValidation type="decimal" operator="greaterThanOrEqual" allowBlank="1" showInputMessage="1" showErrorMessage="1" error="Value must be greater than or equal to zero." prompt="Input total quantity of grid electricity allocated to this process. Value must be less than or equal to the total grid electricity input into 'Electricity Usage' tab." sqref="E53" xr:uid="{615C4016-0A8E-46EB-A249-2A8E6CD95108}">
      <formula1>0</formula1>
    </dataValidation>
    <dataValidation type="decimal" operator="greaterThanOrEqual" allowBlank="1" showInputMessage="1" showErrorMessage="1" error="Value must be greater than or equal to zero." prompt="Input total quantity of onsite electricity generated via fuel combustion allocated to this process. Value must be less than or equal to the total input into 'Electricity Usage' tab." sqref="E54" xr:uid="{9EBB0217-FED2-45A3-A341-A0E289906AE0}">
      <formula1>0</formula1>
    </dataValidation>
    <dataValidation type="decimal" operator="greaterThanOrEqual" allowBlank="1" showInputMessage="1" showErrorMessage="1" prompt="Leave blank to use default value." sqref="H69:H71" xr:uid="{F43CBD4B-B7C5-48AB-B5B3-AB3453BDA2D0}">
      <formula1>0</formula1>
    </dataValidation>
    <dataValidation allowBlank="1" showInputMessage="1" showErrorMessage="1" prompt="Note: All Co-Product names must be unique." sqref="C197:C198 C205:C207 C214:C216" xr:uid="{697C773A-97C3-40D4-9082-746D37C1EBE8}"/>
    <dataValidation type="list" allowBlank="1" showInputMessage="1" showErrorMessage="1" sqref="F50:F51 F53:F54 F169" xr:uid="{5C862812-F7EB-4C4A-A71D-A7EEC98ADEB1}">
      <formula1>Energy_Units_Options</formula1>
    </dataValidation>
    <dataValidation allowBlank="1" showDropDown="1" showInputMessage="1" showErrorMessage="1" prompt="Includes renewables from both onsite generation and purchased REC's" sqref="C51" xr:uid="{931E1A45-D0C5-4945-AE7E-8380AA32EF27}"/>
  </dataValidations>
  <pageMargins left="0.7" right="0.7" top="0.75" bottom="0.75" header="0.3" footer="0.3"/>
  <pageSetup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8" id="{97A251F1-9E3F-4FC4-B622-85BB9066EAA4}">
            <xm:f>OR((OR(($F34='Key Values'!$B$26),($F34='Key Values'!$B$27))),(OR(($F35='Key Values'!$B$26),($F35='Key Values'!$B$27))),(OR(($F36='Key Values'!$B$26),($F36='Key Values'!$B$27))))</xm:f>
            <x14:dxf>
              <font>
                <color auto="1"/>
              </font>
              <fill>
                <patternFill patternType="solid">
                  <bgColor rgb="FF00A7D3"/>
                </patternFill>
              </fill>
            </x14:dxf>
          </x14:cfRule>
          <xm:sqref>J32</xm:sqref>
        </x14:conditionalFormatting>
        <x14:conditionalFormatting xmlns:xm="http://schemas.microsoft.com/office/excel/2006/main">
          <x14:cfRule type="expression" priority="32" id="{50D43F7F-19DC-41B0-B5EB-A31BD3E52392}">
            <xm:f>OR(($F34='Key Values'!$B$26),($F34='Key Values'!$B$27))</xm:f>
            <x14:dxf>
              <border>
                <top style="thin">
                  <color auto="1"/>
                </top>
                <bottom/>
                <vertical/>
                <horizontal/>
              </border>
            </x14:dxf>
          </x14:cfRule>
          <xm:sqref>J34</xm:sqref>
        </x14:conditionalFormatting>
        <x14:conditionalFormatting xmlns:xm="http://schemas.microsoft.com/office/excel/2006/main">
          <x14:cfRule type="expression" priority="35" id="{7C56CF32-58F8-4F29-9C66-387517B70398}">
            <xm:f>OR(($F34='Key Values'!$B$26),($F34='Key Values'!$B$27))</xm:f>
            <x14:dxf>
              <font>
                <color auto="1"/>
              </font>
              <fill>
                <patternFill>
                  <bgColor theme="5" tint="0.59996337778862885"/>
                </patternFill>
              </fill>
              <border>
                <left style="hair">
                  <color auto="1"/>
                </left>
                <right style="thin">
                  <color auto="1"/>
                </right>
                <top/>
                <bottom/>
              </border>
            </x14:dxf>
          </x14:cfRule>
          <xm:sqref>J34:J36</xm:sqref>
        </x14:conditionalFormatting>
        <x14:conditionalFormatting xmlns:xm="http://schemas.microsoft.com/office/excel/2006/main">
          <x14:cfRule type="expression" priority="26" id="{1FCF2A37-9A1F-41AE-B8A5-5F6D48E39FF0}">
            <xm:f>AND(NOT(OR(($F36='Key Values'!$B$26),($F36='Key Values'!$B$27))),OR(($F35='Key Values'!$B$26),($F35='Key Values'!$B$27)))</xm:f>
            <x14:dxf>
              <border>
                <bottom style="thin">
                  <color auto="1"/>
                </bottom>
                <vertical/>
                <horizontal/>
              </border>
            </x14:dxf>
          </x14:cfRule>
          <x14:cfRule type="expression" priority="27" id="{5ECE1993-C7E7-42EF-A0FE-ED533B222A8B}">
            <xm:f>AND(NOT(OR(($F34='Key Values'!$B$26),($F34='Key Values'!$B$27))),OR(($F35='Key Values'!$B$26),($F35='Key Values'!$B$27)))</xm:f>
            <x14:dxf>
              <border>
                <top style="thin">
                  <color auto="1"/>
                </top>
                <vertical/>
                <horizontal/>
              </border>
            </x14:dxf>
          </x14:cfRule>
          <x14:cfRule type="expression" priority="29" id="{3F510E2C-66C1-49F5-BFE1-D88B8200D0DF}">
            <xm:f>AND(NOT(OR(($F35='Key Values'!$B$26),($F35='Key Values'!$B$27))),OR(($F34='Key Values'!$B$26),($F34='Key Values'!$B$27)))</xm:f>
            <x14:dxf>
              <border>
                <top style="thin">
                  <color auto="1"/>
                </top>
                <vertical/>
                <horizontal/>
              </border>
            </x14:dxf>
          </x14:cfRule>
          <x14:cfRule type="expression" priority="30" id="{9B7D629D-61F4-4E9D-B316-2525F0A4C527}">
            <xm:f>AND(NOT(OR(($F35='Key Values'!$B$26),($F35='Key Values'!$B$27))),OR(($F36='Key Values'!$B$26),($F36='Key Values'!$B$27)))</xm:f>
            <x14:dxf>
              <border>
                <bottom style="thin">
                  <color auto="1"/>
                </bottom>
                <vertical/>
                <horizontal/>
              </border>
            </x14:dxf>
          </x14:cfRule>
          <x14:cfRule type="expression" priority="31" id="{769EA394-0DB4-4CD9-9EC5-7A38825DAAF2}">
            <xm:f>AND(OR(($F34='Key Values'!$B$26),($F34='Key Values'!$B$27)),OR(($F35='Key Values'!$B$26),($F35='Key Values'!$B$27)))</xm:f>
            <x14:dxf>
              <border>
                <top style="hair">
                  <color auto="1"/>
                </top>
                <vertical/>
                <horizontal/>
              </border>
            </x14:dxf>
          </x14:cfRule>
          <x14:cfRule type="expression" priority="33" id="{FF21CE96-7ED9-4D9D-93FF-512202B1F91D}">
            <xm:f>AND(OR(($F35='Key Values'!$B$26),($F35='Key Values'!$B$27)),OR(($F36='Key Values'!$B$26),($F36='Key Values'!$B$27)))</xm:f>
            <x14:dxf>
              <border>
                <bottom style="hair">
                  <color auto="1"/>
                </bottom>
                <vertical/>
                <horizontal/>
              </border>
            </x14:dxf>
          </x14:cfRule>
          <xm:sqref>J35</xm:sqref>
        </x14:conditionalFormatting>
        <x14:conditionalFormatting xmlns:xm="http://schemas.microsoft.com/office/excel/2006/main">
          <x14:cfRule type="expression" priority="34" id="{05038097-1068-43C4-897C-867E188DAF1F}">
            <xm:f>OR(($F36='Key Values'!$B$26),($F36='Key Values'!$B$27))</xm:f>
            <x14:dxf>
              <border>
                <bottom style="thin">
                  <color auto="1"/>
                </bottom>
                <vertical/>
                <horizontal/>
              </border>
            </x14:dxf>
          </x14:cfRule>
          <xm:sqref>J36</xm:sqref>
        </x14:conditionalFormatting>
      </x14:conditionalFormattings>
    </ext>
    <ext xmlns:x14="http://schemas.microsoft.com/office/spreadsheetml/2009/9/main" uri="{CCE6A557-97BC-4b89-ADB6-D9C93CAAB3DF}">
      <x14:dataValidations xmlns:xm="http://schemas.microsoft.com/office/excel/2006/main" xWindow="1795" yWindow="785" count="25">
        <x14:dataValidation type="list" allowBlank="1" showInputMessage="1" showErrorMessage="1" xr:uid="{E57795E9-7282-4415-B818-706759401A81}">
          <x14:formula1>
            <xm:f>'Key Values'!$B$35:$B$37</xm:f>
          </x14:formula1>
          <xm:sqref>E101 E95:E99</xm:sqref>
        </x14:dataValidation>
        <x14:dataValidation type="list" allowBlank="1" showInputMessage="1" showErrorMessage="1" xr:uid="{505949F7-CA1C-4C2F-9AD3-B5421A817740}">
          <x14:formula1>
            <xm:f>'Hidden Lists and Summaries'!$B$5:$B$11</xm:f>
          </x14:formula1>
          <xm:sqref>F159:F162</xm:sqref>
        </x14:dataValidation>
        <x14:dataValidation type="list" allowBlank="1" showInputMessage="1" showErrorMessage="1" xr:uid="{FDF54675-CB00-452A-895B-58A43C9BF26F}">
          <x14:formula1>
            <xm:f>'Hidden Lists and Summaries'!$B$29:$B$34</xm:f>
          </x14:formula1>
          <xm:sqref>G78:G81 G214:G216</xm:sqref>
        </x14:dataValidation>
        <x14:dataValidation type="list" allowBlank="1" showInputMessage="1" showErrorMessage="1" xr:uid="{D97DA33D-B9D8-4A19-8BF1-CEDFB514B07A}">
          <x14:formula1>
            <xm:f>'Key Values'!$B$20:$B$27</xm:f>
          </x14:formula1>
          <xm:sqref>F34:F36</xm:sqref>
        </x14:dataValidation>
        <x14:dataValidation type="list" allowBlank="1" showInputMessage="1" showErrorMessage="1" prompt="Biomass gasification is not included in this version of the calculator, and is being explored as an addition for the full scheme." xr:uid="{44860BB3-DADE-4820-A9CF-5106490DB460}">
          <x14:formula1>
            <xm:f>'Key Values'!$B$62:$B$67</xm:f>
          </x14:formula1>
          <xm:sqref>C88</xm:sqref>
        </x14:dataValidation>
        <x14:dataValidation type="list" allowBlank="1" showInputMessage="1" showErrorMessage="1" xr:uid="{777C5AA7-D2DA-4BA3-B0D9-91A1584BECB9}">
          <x14:formula1>
            <xm:f>'Key Values'!$B$313:$B$315</xm:f>
          </x14:formula1>
          <xm:sqref>G119:G121</xm:sqref>
        </x14:dataValidation>
        <x14:dataValidation type="list" allowBlank="1" showInputMessage="1" showErrorMessage="1" xr:uid="{097444F2-79D2-4FA7-92F2-0ED8504B71F7}">
          <x14:formula1>
            <xm:f>'Key Values'!$B$313:$B$317</xm:f>
          </x14:formula1>
          <xm:sqref>H34:H36 G43</xm:sqref>
        </x14:dataValidation>
        <x14:dataValidation type="list" allowBlank="1" showInputMessage="1" showErrorMessage="1" xr:uid="{3ED6E9EA-4776-4AEA-A9F0-C1CCA58BE391}">
          <x14:formula1>
            <xm:f>'Key Values'!$B$291:$B$292</xm:f>
          </x14:formula1>
          <xm:sqref>H106:H112 G69:G71 G186:G188 I121 G176:G178 H195:H198 G205:G207 J119:J120 F17 F24 F61</xm:sqref>
        </x14:dataValidation>
        <x14:dataValidation type="list" allowBlank="1" showInputMessage="1" showErrorMessage="1" xr:uid="{6988989A-68C8-4EBA-A823-46B383068A62}">
          <x14:formula1>
            <xm:f>'Key Values'!$B$302:$B$303</xm:f>
          </x14:formula1>
          <xm:sqref>I185</xm:sqref>
        </x14:dataValidation>
        <x14:dataValidation type="list" allowBlank="1" showDropDown="1" showInputMessage="1" showErrorMessage="1" xr:uid="{852D8790-4623-42AF-988B-4C5091F7C14D}">
          <x14:formula1>
            <xm:f>'Key Values'!$B$291</xm:f>
          </x14:formula1>
          <xm:sqref>G223:G224 F147:F152</xm:sqref>
        </x14:dataValidation>
        <x14:dataValidation type="list" allowBlank="1" showInputMessage="1" showErrorMessage="1" xr:uid="{31ADCFA7-E580-4E4D-93BC-DB49335C7220}">
          <x14:formula1>
            <xm:f>'Key Values'!$B$189:$B$192</xm:f>
          </x14:formula1>
          <xm:sqref>E106:E112</xm:sqref>
        </x14:dataValidation>
        <x14:dataValidation type="list" allowBlank="1" showInputMessage="1" showErrorMessage="1" xr:uid="{9E87B1A1-8E42-49AA-AB2C-FB95FBF5DCA3}">
          <x14:formula1>
            <xm:f>IF($E$112='Key Values'!$B$192,'Key Values'!$B$221,'Key Values'!$B$222:$B$234)</xm:f>
          </x14:formula1>
          <xm:sqref>F112</xm:sqref>
        </x14:dataValidation>
        <x14:dataValidation type="list" allowBlank="1" showInputMessage="1" showErrorMessage="1" xr:uid="{98F5998B-1822-4089-B176-0A5A87DD7BA7}">
          <x14:formula1>
            <xm:f>IF($E$111='Key Values'!$B$192,'Key Values'!$B$221,'Key Values'!$B$222:$B$234)</xm:f>
          </x14:formula1>
          <xm:sqref>F111</xm:sqref>
        </x14:dataValidation>
        <x14:dataValidation type="list" allowBlank="1" showInputMessage="1" showErrorMessage="1" xr:uid="{FC8243E3-E944-4CD9-8344-8EFCD8C4934F}">
          <x14:formula1>
            <xm:f>IF($E$110='Key Values'!$B$192,'Key Values'!$B$221,'Key Values'!$B$222:$B$234)</xm:f>
          </x14:formula1>
          <xm:sqref>F110</xm:sqref>
        </x14:dataValidation>
        <x14:dataValidation type="list" allowBlank="1" showInputMessage="1" showErrorMessage="1" xr:uid="{E08588EA-3126-4FD4-B10B-B09652109EB4}">
          <x14:formula1>
            <xm:f>IF($E$108='Key Values'!$B$192,'Key Values'!$B$221,'Key Values'!$B$222:$B$234)</xm:f>
          </x14:formula1>
          <xm:sqref>F108</xm:sqref>
        </x14:dataValidation>
        <x14:dataValidation type="list" allowBlank="1" showInputMessage="1" showErrorMessage="1" xr:uid="{B87C7E1B-A40E-4CEE-82F5-A7DDCB11D2EF}">
          <x14:formula1>
            <xm:f>IF($E$107='Key Values'!$B$192,'Key Values'!$B$221,'Key Values'!$B$222:$B$234)</xm:f>
          </x14:formula1>
          <xm:sqref>F107</xm:sqref>
        </x14:dataValidation>
        <x14:dataValidation type="list" allowBlank="1" showInputMessage="1" showErrorMessage="1" xr:uid="{351ACF88-65B0-402D-873A-402E7803013A}">
          <x14:formula1>
            <xm:f>IF($E$106='Key Values'!$B$192,'Key Values'!$B$221,'Key Values'!$B$222:$B$234)</xm:f>
          </x14:formula1>
          <xm:sqref>F106</xm:sqref>
        </x14:dataValidation>
        <x14:dataValidation type="list" allowBlank="1" showInputMessage="1" showErrorMessage="1" xr:uid="{FE2414E1-DB67-4754-AA64-A7873D2CAF57}">
          <x14:formula1>
            <xm:f>IF($E$109='Key Values'!$B$192,'Key Values'!$B$221,'Key Values'!$B$222:$B$234)</xm:f>
          </x14:formula1>
          <xm:sqref>F109</xm:sqref>
        </x14:dataValidation>
        <x14:dataValidation type="list" operator="greaterThan" allowBlank="1" showInputMessage="1" showErrorMessage="1" xr:uid="{9D6D71D6-2BAD-406D-B84A-453D23B19017}">
          <x14:formula1>
            <xm:f>'Key Values'!$B$197:$B$204</xm:f>
          </x14:formula1>
          <xm:sqref>J69:J71 H176:H178</xm:sqref>
        </x14:dataValidation>
        <x14:dataValidation type="list" allowBlank="1" showInputMessage="1" showErrorMessage="1" xr:uid="{99AB5C9C-35E8-4DEE-AB58-274013B31558}">
          <x14:formula1>
            <xm:f>'Key Values'!$B$209:$B$217</xm:f>
          </x14:formula1>
          <xm:sqref>I69:I71</xm:sqref>
        </x14:dataValidation>
        <x14:dataValidation type="list" allowBlank="1" showInputMessage="1" showErrorMessage="1" xr:uid="{32CDD1AA-E67A-440A-8BA0-6CE9E6738A5B}">
          <x14:formula1>
            <xm:f>IF(#REF!="Solid Fuel", 'Key Values'!$B$41:$B$58,IF(#REF!="Gaseous Fuel",'Key Values'!$B$72:$B$85,'Key Values'!$B$101:$B$120))</xm:f>
          </x14:formula1>
          <xm:sqref>F101</xm:sqref>
        </x14:dataValidation>
        <x14:dataValidation type="list" allowBlank="1" showInputMessage="1" showErrorMessage="1" xr:uid="{706F8239-270D-4051-AEF6-72848812AA91}">
          <x14:formula1>
            <xm:f>IF(E95="Solid Fuel", 'Key Values'!$B$41:$B$58,IF(E95="Gaseous Fuel",'Key Values'!$B$72:$B$85,'Key Values'!$B$101:$B$120))</xm:f>
          </x14:formula1>
          <xm:sqref>F95:F99</xm:sqref>
        </x14:dataValidation>
        <x14:dataValidation type="list" allowBlank="1" showInputMessage="1" showErrorMessage="1" prompt="Cell will appear red if incompatible unit is selected" xr:uid="{90D20600-15D1-4EB6-A466-728249EC67CC}">
          <x14:formula1>
            <xm:f>IF(OR(AND(E95="Liquid Fuel", _xlfn.IFNA(VLOOKUP(F95,'Key Values'!$B$101:$H$120,3,FALSE)="GJ/t", FALSE) ),E95="Solid Fuel"),'Key Values'!$B$291:$B$292, 'Key Values'!$B$296:$B$298)</xm:f>
          </x14:formula1>
          <xm:sqref>H95:H99</xm:sqref>
        </x14:dataValidation>
        <x14:dataValidation type="list" allowBlank="1" showInputMessage="1" showErrorMessage="1" xr:uid="{4DCE5CC6-1896-441E-B7F4-01F5CBA2C148}">
          <x14:formula1>
            <xm:f>'Key Values'!B$291:B$292</xm:f>
          </x14:formula1>
          <xm:sqref>H159:H162</xm:sqref>
        </x14:dataValidation>
        <x14:dataValidation type="list" allowBlank="1" showInputMessage="1" showErrorMessage="1" xr:uid="{A5B88FC9-4AFB-4AC7-BD4B-C1896F121CD0}">
          <x14:formula1>
            <xm:f>IF(OR(AND(E101="Liquid Fuel", _xlfn.IFNA(VLOOKUP(F101,'Key Values'!$B101:$H120,3,FALSE)="GJ/t", FALSE) ),E101="Solid Fuel"),'Key Values'!$B$291:$B$292, 'Key Values'!$B$296:$B$298)</xm:f>
          </x14:formula1>
          <xm:sqref>H101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8473-0242-4BE5-8225-71F241170770}">
  <sheetPr>
    <tabColor theme="7" tint="0.39997558519241921"/>
  </sheetPr>
  <dimension ref="A1:AN128"/>
  <sheetViews>
    <sheetView showGridLines="0" zoomScale="85" zoomScaleNormal="85" workbookViewId="0">
      <pane xSplit="4" ySplit="3" topLeftCell="E4" activePane="bottomRight" state="frozen"/>
      <selection pane="topRight" activeCell="E1" sqref="E1"/>
      <selection pane="bottomLeft" activeCell="A4" sqref="A4"/>
      <selection pane="bottomRight" activeCell="E8" sqref="E8"/>
    </sheetView>
  </sheetViews>
  <sheetFormatPr defaultColWidth="0" defaultRowHeight="24.75" customHeight="1" zeroHeight="1" x14ac:dyDescent="0.25"/>
  <cols>
    <col min="1" max="1" width="3.453125" customWidth="1"/>
    <col min="2" max="2" width="7.1796875" customWidth="1"/>
    <col min="3" max="3" width="45.1796875" customWidth="1"/>
    <col min="4" max="4" width="6" customWidth="1"/>
    <col min="5" max="5" width="38.54296875" bestFit="1" customWidth="1"/>
    <col min="6" max="6" width="59.453125" customWidth="1"/>
    <col min="7" max="7" width="55.54296875" customWidth="1"/>
    <col min="8" max="9" width="69.54296875" bestFit="1" customWidth="1"/>
    <col min="10" max="11" width="63.453125" bestFit="1" customWidth="1"/>
    <col min="12" max="12" width="6.453125" customWidth="1"/>
    <col min="13" max="13" width="7" bestFit="1" customWidth="1"/>
    <col min="14" max="14" width="26" bestFit="1" customWidth="1"/>
    <col min="15" max="15" width="22.54296875" bestFit="1" customWidth="1"/>
    <col min="16" max="16" width="20.54296875" bestFit="1" customWidth="1"/>
    <col min="17" max="17" width="9.1796875" customWidth="1"/>
    <col min="18" max="18" width="9.54296875" customWidth="1"/>
    <col min="19" max="40" width="0" hidden="1" customWidth="1"/>
    <col min="41" max="16384" width="9.54296875" hidden="1"/>
  </cols>
  <sheetData>
    <row r="1" spans="2:29" ht="18" customHeight="1" x14ac:dyDescent="0.25"/>
    <row r="2" spans="2:29" ht="102" customHeight="1" x14ac:dyDescent="0.3">
      <c r="C2" s="228"/>
    </row>
    <row r="3" spans="2:29" ht="45" customHeight="1" x14ac:dyDescent="0.25">
      <c r="B3" s="1908" t="s">
        <v>175</v>
      </c>
      <c r="C3" s="1908"/>
      <c r="D3" s="1908"/>
      <c r="E3" s="1908"/>
      <c r="F3" s="1908"/>
      <c r="G3" s="1908"/>
      <c r="H3" s="1908"/>
      <c r="I3" s="1908"/>
      <c r="J3" s="1908"/>
      <c r="K3" s="1908"/>
      <c r="L3" s="1908"/>
      <c r="M3" s="1908"/>
      <c r="N3" s="1908"/>
      <c r="O3" s="1908"/>
      <c r="P3" s="1908"/>
      <c r="Q3" s="1908"/>
      <c r="R3" s="904"/>
    </row>
    <row r="4" spans="2:29" ht="12.5" x14ac:dyDescent="0.25">
      <c r="B4" s="1081"/>
      <c r="C4" s="1082"/>
      <c r="D4" s="1082"/>
      <c r="E4" s="1082"/>
      <c r="F4" s="1082"/>
      <c r="G4" s="1082"/>
      <c r="H4" s="1082"/>
      <c r="I4" s="1082"/>
      <c r="J4" s="1082"/>
      <c r="K4" s="1082"/>
      <c r="L4" s="1082"/>
      <c r="M4" s="1082"/>
      <c r="N4" s="1082"/>
      <c r="O4" s="1082"/>
      <c r="P4" s="1082"/>
      <c r="Q4" s="1083"/>
    </row>
    <row r="5" spans="2:29" ht="15.75" customHeight="1" x14ac:dyDescent="0.25">
      <c r="B5" s="1084"/>
      <c r="C5" s="1109" t="s">
        <v>1356</v>
      </c>
      <c r="D5" s="1086"/>
      <c r="E5" s="1897" t="s">
        <v>642</v>
      </c>
      <c r="F5" s="1086"/>
      <c r="G5" s="1086"/>
      <c r="H5" s="1086"/>
      <c r="I5" s="1086"/>
      <c r="J5" s="1899" t="s">
        <v>643</v>
      </c>
      <c r="K5" s="1086"/>
      <c r="L5" s="1086"/>
      <c r="M5" s="1086"/>
      <c r="N5" s="1086"/>
      <c r="O5" s="1086"/>
      <c r="P5" s="1086"/>
      <c r="Q5" s="1087"/>
      <c r="T5" s="1371" t="s">
        <v>72</v>
      </c>
      <c r="U5" s="1372"/>
      <c r="V5" s="1372"/>
      <c r="W5" s="1372"/>
      <c r="X5" s="1372"/>
      <c r="Y5" s="1372"/>
      <c r="Z5" s="1372"/>
      <c r="AA5" s="1372"/>
      <c r="AB5" s="1372"/>
      <c r="AC5" s="1373"/>
    </row>
    <row r="6" spans="2:29" ht="15.5" x14ac:dyDescent="0.25">
      <c r="B6" s="1089"/>
      <c r="C6" s="1090"/>
      <c r="D6" s="1090"/>
      <c r="E6" s="1898"/>
      <c r="F6" s="1091" t="s">
        <v>644</v>
      </c>
      <c r="G6" s="1091" t="s">
        <v>645</v>
      </c>
      <c r="H6" s="1091" t="s">
        <v>646</v>
      </c>
      <c r="I6" s="1253" t="s">
        <v>647</v>
      </c>
      <c r="J6" s="1900"/>
      <c r="K6" s="1253" t="s">
        <v>648</v>
      </c>
      <c r="L6" s="1253"/>
      <c r="M6" s="1090"/>
      <c r="N6" s="1090"/>
      <c r="O6" s="1090"/>
      <c r="P6" s="1090"/>
      <c r="Q6" s="1094"/>
      <c r="T6" s="263"/>
      <c r="AC6" s="261"/>
    </row>
    <row r="7" spans="2:29" ht="15.5" x14ac:dyDescent="0.25">
      <c r="B7" s="1192"/>
      <c r="C7" s="1193"/>
      <c r="D7" s="1193"/>
      <c r="E7" s="1193"/>
      <c r="F7" s="1193"/>
      <c r="G7" s="1124"/>
      <c r="H7" s="1193"/>
      <c r="I7" s="1124"/>
      <c r="J7" s="1193"/>
      <c r="K7" s="1193"/>
      <c r="L7" s="1193"/>
      <c r="M7" s="1193"/>
      <c r="N7" s="1193"/>
      <c r="O7" s="1193"/>
      <c r="P7" s="1193"/>
      <c r="Q7" s="1195"/>
      <c r="T7" s="1299" t="s">
        <v>646</v>
      </c>
      <c r="U7" s="1299" t="s">
        <v>649</v>
      </c>
      <c r="V7" s="1299" t="s">
        <v>650</v>
      </c>
      <c r="W7" s="1299" t="s">
        <v>651</v>
      </c>
      <c r="X7" s="1360" t="s">
        <v>652</v>
      </c>
      <c r="Y7" s="1299" t="s">
        <v>677</v>
      </c>
      <c r="AC7" s="261"/>
    </row>
    <row r="8" spans="2:29" ht="12.5" x14ac:dyDescent="0.25">
      <c r="B8" s="1095"/>
      <c r="C8" s="37" t="s">
        <v>653</v>
      </c>
      <c r="D8" s="37"/>
      <c r="E8" s="1659"/>
      <c r="F8" s="362"/>
      <c r="G8" s="362"/>
      <c r="H8" s="362"/>
      <c r="I8" s="362"/>
      <c r="J8" s="362"/>
      <c r="K8" s="1660"/>
      <c r="L8" s="1374"/>
      <c r="M8" s="1101"/>
      <c r="N8" s="1101"/>
      <c r="O8" s="1101"/>
      <c r="P8" s="1101"/>
      <c r="Q8" s="1099"/>
      <c r="T8" s="786" t="str">
        <f>IF($H8="","N/A",$H8)</f>
        <v>N/A</v>
      </c>
      <c r="U8" s="790" t="e" cm="1" vm="1">
        <f t="array" ref="U8">IF($I8="",VLOOKUP($T8,_xlfn._xlws.FILTER(TransportFuelFactorsTable[[Heavy Vehicle Design Standard]:[Energy content factor (GJ/kL)']]],TransportFuelFactorsTable[Fuel]=$G8),2,FALSE),$I8)</f>
        <v>#VALUE!</v>
      </c>
      <c r="V8" s="790" t="e" cm="1" vm="1">
        <f t="array" ref="V8">IF($J8="",VLOOKUP($T8,_xlfn._xlws.FILTER(TransportFuelFactorsTable[[Heavy Vehicle Design Standard]:[Direct emissions factor (kg CO2-e / GJ)]],TransportFuelFactorsTable[Fuel]=$G8),3,FALSE),$J8)</f>
        <v>#VALUE!</v>
      </c>
      <c r="W8" s="923" t="e" cm="1" vm="1">
        <f t="array" ref="W8">IF($K8="",VLOOKUP($T8,_xlfn._xlws.FILTER(TransportFuelFactorsTable[[Heavy Vehicle Design Standard]:[Embodied emissions factor (kg CO2-e/ GJ)]],TransportFuelFactorsTable[Fuel]=$G8),4,FALSE),$K8)</f>
        <v>#VALUE!</v>
      </c>
      <c r="X8" t="b">
        <f>IFERROR(FIND("Truck",PROPER(F8))&gt;0,FALSE)</f>
        <v>0</v>
      </c>
      <c r="Y8" s="227">
        <f>G18+G28+I38-H38</f>
        <v>0</v>
      </c>
      <c r="AC8" s="261"/>
    </row>
    <row r="9" spans="2:29" ht="12.5" x14ac:dyDescent="0.25">
      <c r="B9" s="1095"/>
      <c r="C9" s="37" t="s">
        <v>657</v>
      </c>
      <c r="D9" s="37"/>
      <c r="E9" s="1661"/>
      <c r="F9" s="1413"/>
      <c r="G9" s="1413"/>
      <c r="H9" s="1413"/>
      <c r="I9" s="1413"/>
      <c r="J9" s="366"/>
      <c r="K9" s="367"/>
      <c r="L9" s="1374"/>
      <c r="M9" s="1101"/>
      <c r="N9" s="1101"/>
      <c r="O9" s="1101"/>
      <c r="P9" s="1101"/>
      <c r="Q9" s="1099"/>
      <c r="T9" s="263" t="str">
        <f>IF($H9="","N/A",$H9)</f>
        <v>N/A</v>
      </c>
      <c r="U9" t="e" cm="1" vm="1">
        <f t="array" ref="U9">IF($I9="",VLOOKUP($T9,_xlfn._xlws.FILTER(TransportFuelFactorsTable[[Heavy Vehicle Design Standard]:[Energy content factor (GJ/kL)']]],TransportFuelFactorsTable[Fuel]=$G9),2,FALSE),$I9)</f>
        <v>#VALUE!</v>
      </c>
      <c r="V9" t="e" cm="1" vm="1">
        <f t="array" ref="V9">IF($J9="",VLOOKUP($T9,_xlfn._xlws.FILTER(TransportFuelFactorsTable[[Heavy Vehicle Design Standard]:[Direct emissions factor (kg CO2-e / GJ)]],TransportFuelFactorsTable[Fuel]=$G9),3,FALSE),$J9)</f>
        <v>#VALUE!</v>
      </c>
      <c r="W9" s="261" t="e" cm="1" vm="1">
        <f t="array" ref="W9">IF($K9="",VLOOKUP($T9,_xlfn._xlws.FILTER(TransportFuelFactorsTable[[Heavy Vehicle Design Standard]:[Embodied emissions factor (kg CO2-e/ GJ)]],TransportFuelFactorsTable[Fuel]=$G9),4,FALSE),$K9)</f>
        <v>#VALUE!</v>
      </c>
      <c r="X9" t="b">
        <f>IFERROR(FIND("Truck",PROPER(F9))&gt;0,FALSE)</f>
        <v>0</v>
      </c>
      <c r="Y9" s="227">
        <f t="shared" ref="Y9:Y11" si="0">G19+G29+I39-H39</f>
        <v>0</v>
      </c>
      <c r="AC9" s="261"/>
    </row>
    <row r="10" spans="2:29" ht="12.5" x14ac:dyDescent="0.25">
      <c r="B10" s="1095"/>
      <c r="C10" s="37" t="s">
        <v>658</v>
      </c>
      <c r="D10" s="37"/>
      <c r="E10" s="1662"/>
      <c r="F10" s="366"/>
      <c r="G10" s="1413"/>
      <c r="H10" s="1413"/>
      <c r="I10" s="1413"/>
      <c r="J10" s="1413"/>
      <c r="K10" s="1663"/>
      <c r="L10" s="1374"/>
      <c r="M10" s="1101"/>
      <c r="N10" s="1101"/>
      <c r="O10" s="1101"/>
      <c r="P10" s="1101"/>
      <c r="Q10" s="1099"/>
      <c r="T10" s="263" t="str">
        <f t="shared" ref="T10:T11" si="1">IF($H10="","N/A",$H10)</f>
        <v>N/A</v>
      </c>
      <c r="U10" t="e" cm="1" vm="1">
        <f t="array" ref="U10">IF($I10="",VLOOKUP($T10,_xlfn._xlws.FILTER(TransportFuelFactorsTable[[Heavy Vehicle Design Standard]:[Energy content factor (GJ/kL)']]],TransportFuelFactorsTable[Fuel]=$G10),2,FALSE),$I10)</f>
        <v>#VALUE!</v>
      </c>
      <c r="V10" t="e" cm="1" vm="1">
        <f t="array" ref="V10">IF($J10="",VLOOKUP($T10,_xlfn._xlws.FILTER(TransportFuelFactorsTable[[Heavy Vehicle Design Standard]:[Direct emissions factor (kg CO2-e / GJ)]],TransportFuelFactorsTable[Fuel]=$G10),3,FALSE),$J10)</f>
        <v>#VALUE!</v>
      </c>
      <c r="W10" s="261" t="e" cm="1" vm="1">
        <f t="array" ref="W10">IF($K10="",VLOOKUP($T10,_xlfn._xlws.FILTER(TransportFuelFactorsTable[[Heavy Vehicle Design Standard]:[Embodied emissions factor (kg CO2-e/ GJ)]],TransportFuelFactorsTable[Fuel]=$G10),4,FALSE),$K10)</f>
        <v>#VALUE!</v>
      </c>
      <c r="X10" t="b">
        <f>IFERROR(FIND("Truck",PROPER(F10))&gt;0,FALSE)</f>
        <v>0</v>
      </c>
      <c r="Y10" s="227">
        <f t="shared" si="0"/>
        <v>0</v>
      </c>
      <c r="AC10" s="261"/>
    </row>
    <row r="11" spans="2:29" ht="12.5" x14ac:dyDescent="0.25">
      <c r="B11" s="1095"/>
      <c r="C11" s="37" t="s">
        <v>659</v>
      </c>
      <c r="D11" s="37"/>
      <c r="E11" s="1664"/>
      <c r="F11" s="1420"/>
      <c r="G11" s="408"/>
      <c r="H11" s="408"/>
      <c r="I11" s="371"/>
      <c r="J11" s="371"/>
      <c r="K11" s="372"/>
      <c r="L11" s="1374"/>
      <c r="M11" s="1101"/>
      <c r="N11" s="1101"/>
      <c r="O11" s="1101"/>
      <c r="P11" s="1101"/>
      <c r="Q11" s="1099"/>
      <c r="T11" s="321" t="str">
        <f t="shared" si="1"/>
        <v>N/A</v>
      </c>
      <c r="U11" s="322" t="e" cm="1" vm="1">
        <f t="array" ref="U11">IF($I11="",VLOOKUP($T11,_xlfn._xlws.FILTER(TransportFuelFactorsTable[[Heavy Vehicle Design Standard]:[Energy content factor (GJ/kL)']]],TransportFuelFactorsTable[Fuel]=$G11),2,FALSE),$I11)</f>
        <v>#VALUE!</v>
      </c>
      <c r="V11" s="322" t="e" cm="1" vm="1">
        <f t="array" ref="V11">IF($J11="",VLOOKUP($T11,_xlfn._xlws.FILTER(TransportFuelFactorsTable[[Heavy Vehicle Design Standard]:[Direct emissions factor (kg CO2-e / GJ)]],TransportFuelFactorsTable[Fuel]=$G11),3,FALSE),$J11)</f>
        <v>#VALUE!</v>
      </c>
      <c r="W11" s="924" t="e" cm="1" vm="1">
        <f t="array" ref="W11">IF($K11="",VLOOKUP($T11,_xlfn._xlws.FILTER(TransportFuelFactorsTable[[Heavy Vehicle Design Standard]:[Embodied emissions factor (kg CO2-e/ GJ)]],TransportFuelFactorsTable[Fuel]=$G11),4,FALSE),$K11)</f>
        <v>#VALUE!</v>
      </c>
      <c r="X11" t="b">
        <f>IFERROR(FIND("Truck",PROPER(F11))&gt;0,FALSE)</f>
        <v>0</v>
      </c>
      <c r="Y11" s="227">
        <f t="shared" si="0"/>
        <v>0</v>
      </c>
      <c r="AC11" s="261"/>
    </row>
    <row r="12" spans="2:29" ht="15.5" x14ac:dyDescent="0.25">
      <c r="B12" s="1105"/>
      <c r="C12" s="1375"/>
      <c r="D12" s="1375"/>
      <c r="E12" s="1375"/>
      <c r="F12" s="1376"/>
      <c r="G12" s="1284"/>
      <c r="H12" s="1106"/>
      <c r="I12" s="1284"/>
      <c r="J12" s="1106"/>
      <c r="K12" s="1106"/>
      <c r="L12" s="1106"/>
      <c r="M12" s="1106"/>
      <c r="N12" s="1106"/>
      <c r="O12" s="1106"/>
      <c r="P12" s="1106"/>
      <c r="Q12" s="1107"/>
      <c r="T12" s="263"/>
      <c r="AC12" s="261"/>
    </row>
    <row r="13" spans="2:29" ht="12.5" x14ac:dyDescent="0.25">
      <c r="T13" s="263"/>
      <c r="AC13" s="261"/>
    </row>
    <row r="14" spans="2:29" ht="15.5" x14ac:dyDescent="0.25">
      <c r="B14" s="1081"/>
      <c r="C14" s="1082"/>
      <c r="D14" s="1082"/>
      <c r="E14" s="1082"/>
      <c r="F14" s="1890" t="s">
        <v>1368</v>
      </c>
      <c r="G14" s="1890"/>
      <c r="H14" s="1890"/>
      <c r="I14" s="1082"/>
      <c r="J14" s="1082"/>
      <c r="K14" s="1082"/>
      <c r="L14" s="1082"/>
      <c r="M14" s="1082"/>
      <c r="N14" s="1082"/>
      <c r="O14" s="1082"/>
      <c r="P14" s="1082"/>
      <c r="Q14" s="1083"/>
      <c r="T14" s="263"/>
      <c r="AC14" s="261"/>
    </row>
    <row r="15" spans="2:29" ht="15.5" x14ac:dyDescent="0.25">
      <c r="B15" s="1084"/>
      <c r="C15" s="1109" t="s">
        <v>660</v>
      </c>
      <c r="D15" s="1086"/>
      <c r="E15" s="1086"/>
      <c r="F15" s="1086"/>
      <c r="G15" s="1086"/>
      <c r="H15" s="1086"/>
      <c r="I15" s="1086"/>
      <c r="J15" s="1086"/>
      <c r="K15" s="1086"/>
      <c r="L15" s="1086"/>
      <c r="M15" s="1086"/>
      <c r="N15" s="1086"/>
      <c r="O15" s="1086"/>
      <c r="P15" s="1086"/>
      <c r="Q15" s="1087"/>
      <c r="T15" s="263"/>
      <c r="AC15" s="261"/>
    </row>
    <row r="16" spans="2:29" ht="15.5" x14ac:dyDescent="0.25">
      <c r="B16" s="1089"/>
      <c r="C16" s="1090"/>
      <c r="D16" s="1090"/>
      <c r="E16" s="1091" t="s">
        <v>661</v>
      </c>
      <c r="F16" s="1091" t="s">
        <v>662</v>
      </c>
      <c r="G16" s="1091" t="s">
        <v>1367</v>
      </c>
      <c r="H16" s="1253" t="s">
        <v>664</v>
      </c>
      <c r="I16" s="1092"/>
      <c r="J16" s="1090"/>
      <c r="K16" s="1090"/>
      <c r="L16" s="1090"/>
      <c r="M16" s="1090"/>
      <c r="N16" s="1090"/>
      <c r="O16" s="1377" t="s">
        <v>665</v>
      </c>
      <c r="P16" s="1377" t="s">
        <v>666</v>
      </c>
      <c r="Q16" s="1094"/>
      <c r="T16" s="263"/>
      <c r="AC16" s="261"/>
    </row>
    <row r="17" spans="2:29" ht="15.5" x14ac:dyDescent="0.25">
      <c r="B17" s="1095"/>
      <c r="C17" s="1096"/>
      <c r="D17" s="1096"/>
      <c r="E17" s="1096"/>
      <c r="F17" s="1096"/>
      <c r="G17" s="1096"/>
      <c r="H17" s="1098"/>
      <c r="I17" s="1098"/>
      <c r="J17" s="1096"/>
      <c r="K17" s="1096"/>
      <c r="L17" s="1096"/>
      <c r="M17" s="1096"/>
      <c r="N17" s="1096"/>
      <c r="O17" s="1097"/>
      <c r="P17" s="1097"/>
      <c r="Q17" s="1099"/>
      <c r="T17" s="1299" t="s">
        <v>662</v>
      </c>
      <c r="U17" s="1299" t="s">
        <v>667</v>
      </c>
      <c r="V17" s="1299" t="s">
        <v>664</v>
      </c>
      <c r="W17" s="1299" t="s">
        <v>668</v>
      </c>
      <c r="X17" s="1299" t="s">
        <v>669</v>
      </c>
      <c r="Y17" s="1299" t="s">
        <v>670</v>
      </c>
      <c r="AC17" s="261"/>
    </row>
    <row r="18" spans="2:29" ht="15.5" x14ac:dyDescent="0.25">
      <c r="B18" s="1095"/>
      <c r="C18" s="37" t="s">
        <v>653</v>
      </c>
      <c r="D18" s="37"/>
      <c r="E18" s="1409"/>
      <c r="F18" s="362"/>
      <c r="G18" s="362"/>
      <c r="H18" s="402"/>
      <c r="I18" s="1098"/>
      <c r="J18" s="1096"/>
      <c r="K18" s="1096"/>
      <c r="L18" s="1096"/>
      <c r="M18" s="1096"/>
      <c r="N18" s="1378"/>
      <c r="O18" s="1379">
        <f>IFERROR(IF($Y18=TRUE,W18,0),'Hidden Lists and Summaries'!$C$158)</f>
        <v>0</v>
      </c>
      <c r="P18" s="1380">
        <f>IFERROR(IF($Y18=TRUE,X18,0),'Hidden Lists and Summaries'!$C$158)</f>
        <v>0</v>
      </c>
      <c r="Q18" s="1099"/>
      <c r="T18" s="1381" t="e" cm="1">
        <f t="array" ref="T18">_xlfn.IFS($E18='Hidden Lists and Summaries'!$B$82,$F18,$E18='Hidden Lists and Summaries'!$B$83,U18*V18*100/1000)</f>
        <v>#N/A</v>
      </c>
      <c r="U18" s="1382">
        <f>G18</f>
        <v>0</v>
      </c>
      <c r="V18" s="1382" t="str" cm="1">
        <f t="array" ref="V18">IF(H18&lt;&gt;"",H18,IFERROR(VLOOKUP(G8,_xlfn._xlws.FILTER(Table73[[Fuel Type]:[Default fuel efficiency (L/ 100km)]],Table73[Truck Type]=F8),2,FALSE),'Hidden Lists and Summaries'!$C$157))</f>
        <v>No default, please enter a bespoke value</v>
      </c>
      <c r="W18" s="1382" t="e">
        <f>T18*U8*V8</f>
        <v>#N/A</v>
      </c>
      <c r="X18" s="1383" t="e">
        <f>T18*U8*W8</f>
        <v>#N/A</v>
      </c>
      <c r="Y18" s="783" t="b">
        <f>$E8='Hidden Lists and Summaries'!$B$78</f>
        <v>0</v>
      </c>
      <c r="AC18" s="261"/>
    </row>
    <row r="19" spans="2:29" ht="15.5" x14ac:dyDescent="0.25">
      <c r="B19" s="1095"/>
      <c r="C19" s="37" t="s">
        <v>657</v>
      </c>
      <c r="D19" s="37"/>
      <c r="E19" s="1412"/>
      <c r="F19" s="366"/>
      <c r="G19" s="366"/>
      <c r="H19" s="1658"/>
      <c r="I19" s="1098"/>
      <c r="J19" s="1096"/>
      <c r="K19" s="1096"/>
      <c r="L19" s="1096"/>
      <c r="M19" s="1096"/>
      <c r="N19" s="1384"/>
      <c r="O19" s="1304">
        <f>IFERROR(IF($Y19=TRUE,W19,0),'Hidden Lists and Summaries'!$C$158)</f>
        <v>0</v>
      </c>
      <c r="P19" s="1385">
        <f>IFERROR(IF($Y19=TRUE,X19,0),'Hidden Lists and Summaries'!$C$158)</f>
        <v>0</v>
      </c>
      <c r="Q19" s="1099"/>
      <c r="T19" s="530" t="e" cm="1">
        <f t="array" ref="T19">_xlfn.IFS($E19='Hidden Lists and Summaries'!$B$82,$F19,$E19='Hidden Lists and Summaries'!$B$83,U19*V19*100/1000)</f>
        <v>#N/A</v>
      </c>
      <c r="U19" s="227">
        <f>G19</f>
        <v>0</v>
      </c>
      <c r="V19" s="227" t="str" cm="1">
        <f t="array" ref="V19">IF(H19&lt;&gt;"",H19,IFERROR(VLOOKUP(G9,_xlfn._xlws.FILTER(Table73[[Fuel Type]:[Default fuel efficiency (L/ 100km)]],Table73[Truck Type]=F9),2,FALSE),'Hidden Lists and Summaries'!$C$157))</f>
        <v>No default, please enter a bespoke value</v>
      </c>
      <c r="W19" s="227" t="e">
        <f>T19*V9*W9</f>
        <v>#N/A</v>
      </c>
      <c r="X19" s="1386" t="e">
        <f t="shared" ref="X19:X21" si="2">T19*U9*W9</f>
        <v>#N/A</v>
      </c>
      <c r="Y19" s="784" t="b">
        <f>$E9='Hidden Lists and Summaries'!$B$78</f>
        <v>0</v>
      </c>
      <c r="AC19" s="261"/>
    </row>
    <row r="20" spans="2:29" ht="15.5" x14ac:dyDescent="0.25">
      <c r="B20" s="1095"/>
      <c r="C20" s="37" t="s">
        <v>658</v>
      </c>
      <c r="D20" s="37"/>
      <c r="E20" s="1412"/>
      <c r="F20" s="366"/>
      <c r="G20" s="366"/>
      <c r="H20" s="1658"/>
      <c r="I20" s="1098"/>
      <c r="J20" s="1096"/>
      <c r="K20" s="1096"/>
      <c r="L20" s="1096"/>
      <c r="M20" s="1096"/>
      <c r="N20" s="1384"/>
      <c r="O20" s="1304">
        <f>IFERROR(IF($Y20=TRUE,W20,0),'Hidden Lists and Summaries'!$C$158)</f>
        <v>0</v>
      </c>
      <c r="P20" s="1385">
        <f>IFERROR(IF($Y20=TRUE,X20,0),'Hidden Lists and Summaries'!$C$158)</f>
        <v>0</v>
      </c>
      <c r="Q20" s="1099"/>
      <c r="T20" s="530" t="e" cm="1">
        <f t="array" ref="T20">_xlfn.IFS($E20='Hidden Lists and Summaries'!$B$82,$F20,$E20='Hidden Lists and Summaries'!$B$83,U20*V20*100/1000)</f>
        <v>#N/A</v>
      </c>
      <c r="U20" s="227">
        <f>G20</f>
        <v>0</v>
      </c>
      <c r="V20" s="227" t="str" cm="1">
        <f t="array" ref="V20">IF(H20&lt;&gt;"",H20,IFERROR(VLOOKUP(G10,_xlfn._xlws.FILTER(Table73[[Fuel Type]:[Default fuel efficiency (L/ 100km)]],Table73[Truck Type]=F10),2,FALSE),'Hidden Lists and Summaries'!$C$157))</f>
        <v>No default, please enter a bespoke value</v>
      </c>
      <c r="W20" s="227" t="e">
        <f>T20*V10*W10</f>
        <v>#N/A</v>
      </c>
      <c r="X20" s="1386" t="e">
        <f t="shared" si="2"/>
        <v>#N/A</v>
      </c>
      <c r="Y20" s="784" t="b">
        <f>$E10='Hidden Lists and Summaries'!$B$78</f>
        <v>0</v>
      </c>
      <c r="AC20" s="261"/>
    </row>
    <row r="21" spans="2:29" ht="15.5" x14ac:dyDescent="0.25">
      <c r="B21" s="1095"/>
      <c r="C21" s="37" t="s">
        <v>659</v>
      </c>
      <c r="D21" s="37"/>
      <c r="E21" s="1419"/>
      <c r="F21" s="371"/>
      <c r="G21" s="1420"/>
      <c r="H21" s="372"/>
      <c r="I21" s="1098"/>
      <c r="J21" s="1096"/>
      <c r="K21" s="1096"/>
      <c r="L21" s="1096"/>
      <c r="M21" s="1096"/>
      <c r="N21" s="1384"/>
      <c r="O21" s="1304">
        <f>IFERROR(IF($Y21=TRUE,W21,0),'Hidden Lists and Summaries'!$C$158)</f>
        <v>0</v>
      </c>
      <c r="P21" s="1385">
        <f>IFERROR(IF($Y21=TRUE,X21,0),'Hidden Lists and Summaries'!$C$158)</f>
        <v>0</v>
      </c>
      <c r="Q21" s="1099"/>
      <c r="T21" s="1387" t="e" cm="1">
        <f t="array" ref="T21">_xlfn.IFS($E21='Hidden Lists and Summaries'!$B$82,$F21,$E21='Hidden Lists and Summaries'!$B$83,U21*V21*100/1000)</f>
        <v>#N/A</v>
      </c>
      <c r="U21" s="1388">
        <f>G21</f>
        <v>0</v>
      </c>
      <c r="V21" s="1388" t="str" cm="1">
        <f t="array" ref="V21">IF(H21&lt;&gt;"",H21,IFERROR(VLOOKUP(G11,_xlfn._xlws.FILTER(Table73[[Fuel Type]:[Default fuel efficiency (L/ 100km)]],Table73[Truck Type]=F11),2,FALSE),'Hidden Lists and Summaries'!$C$157))</f>
        <v>No default, please enter a bespoke value</v>
      </c>
      <c r="W21" s="1388" t="e">
        <f>T21*V11*W11</f>
        <v>#N/A</v>
      </c>
      <c r="X21" s="1389" t="e">
        <f t="shared" si="2"/>
        <v>#N/A</v>
      </c>
      <c r="Y21" s="785" t="b">
        <f>$E11='Hidden Lists and Summaries'!$B$78</f>
        <v>0</v>
      </c>
      <c r="AC21" s="261"/>
    </row>
    <row r="22" spans="2:29" ht="13" x14ac:dyDescent="0.25">
      <c r="B22" s="1105"/>
      <c r="C22" s="1106"/>
      <c r="D22" s="1106"/>
      <c r="E22" s="1106"/>
      <c r="F22" s="1106"/>
      <c r="G22" s="1106"/>
      <c r="H22" s="1106"/>
      <c r="I22" s="1106"/>
      <c r="J22" s="1106"/>
      <c r="K22" s="1106"/>
      <c r="L22" s="1106"/>
      <c r="M22" s="1106"/>
      <c r="N22" s="1390" t="s">
        <v>120</v>
      </c>
      <c r="O22" s="1391">
        <f>SUM(O18:O21)</f>
        <v>0</v>
      </c>
      <c r="P22" s="1392">
        <f>SUM(P18:P21)</f>
        <v>0</v>
      </c>
      <c r="Q22" s="1107"/>
      <c r="T22" s="263"/>
      <c r="AC22" s="261"/>
    </row>
    <row r="23" spans="2:29" ht="12.5" x14ac:dyDescent="0.25">
      <c r="T23" s="263"/>
      <c r="AC23" s="261"/>
    </row>
    <row r="24" spans="2:29" ht="15.75" customHeight="1" x14ac:dyDescent="0.25">
      <c r="B24" s="1081"/>
      <c r="C24" s="1082"/>
      <c r="D24" s="1082"/>
      <c r="E24" s="1082"/>
      <c r="F24" s="1890" t="s">
        <v>1369</v>
      </c>
      <c r="G24" s="1890"/>
      <c r="H24" s="1890"/>
      <c r="I24" s="1082"/>
      <c r="J24" s="1082"/>
      <c r="K24" s="1082"/>
      <c r="L24" s="1082"/>
      <c r="M24" s="1082"/>
      <c r="N24" s="1082"/>
      <c r="O24" s="1082"/>
      <c r="P24" s="1082"/>
      <c r="Q24" s="1083"/>
      <c r="T24" s="263"/>
      <c r="AC24" s="261"/>
    </row>
    <row r="25" spans="2:29" ht="15.5" x14ac:dyDescent="0.25">
      <c r="B25" s="1084"/>
      <c r="C25" s="1109" t="s">
        <v>672</v>
      </c>
      <c r="D25" s="1086"/>
      <c r="E25" s="1086"/>
      <c r="F25" s="1086"/>
      <c r="G25" s="1086"/>
      <c r="H25" s="1086"/>
      <c r="I25" s="1086"/>
      <c r="J25" s="1086"/>
      <c r="K25" s="1086"/>
      <c r="L25" s="1086"/>
      <c r="M25" s="1086"/>
      <c r="N25" s="1086"/>
      <c r="O25" s="1086"/>
      <c r="P25" s="1086"/>
      <c r="Q25" s="1087"/>
      <c r="T25" s="263"/>
      <c r="AC25" s="261"/>
    </row>
    <row r="26" spans="2:29" ht="15.5" x14ac:dyDescent="0.25">
      <c r="B26" s="1089"/>
      <c r="C26" s="1090"/>
      <c r="D26" s="1090"/>
      <c r="E26" s="1091" t="s">
        <v>661</v>
      </c>
      <c r="F26" s="1091" t="s">
        <v>673</v>
      </c>
      <c r="G26" s="1091" t="s">
        <v>1367</v>
      </c>
      <c r="H26" s="1091" t="s">
        <v>674</v>
      </c>
      <c r="I26" s="1253" t="s">
        <v>675</v>
      </c>
      <c r="J26" s="1253" t="s">
        <v>676</v>
      </c>
      <c r="K26" s="1090"/>
      <c r="L26" s="1090"/>
      <c r="M26" s="1090"/>
      <c r="N26" s="1090"/>
      <c r="O26" s="1377" t="s">
        <v>665</v>
      </c>
      <c r="P26" s="1377" t="s">
        <v>666</v>
      </c>
      <c r="Q26" s="1094"/>
      <c r="T26" s="263"/>
      <c r="AC26" s="261"/>
    </row>
    <row r="27" spans="2:29" ht="15.5" x14ac:dyDescent="0.25">
      <c r="B27" s="1095"/>
      <c r="C27" s="1096"/>
      <c r="D27" s="1096"/>
      <c r="E27" s="1096"/>
      <c r="F27" s="1096"/>
      <c r="G27" s="1096"/>
      <c r="H27" s="1096"/>
      <c r="I27" s="1098"/>
      <c r="J27" s="1098"/>
      <c r="K27" s="1096"/>
      <c r="L27" s="1096"/>
      <c r="M27" s="1096"/>
      <c r="N27" s="1096"/>
      <c r="O27" s="1096"/>
      <c r="P27" s="1096"/>
      <c r="Q27" s="1099"/>
      <c r="T27" s="1299" t="s">
        <v>677</v>
      </c>
      <c r="U27" s="1299" t="s">
        <v>674</v>
      </c>
      <c r="V27" s="1299" t="s">
        <v>678</v>
      </c>
      <c r="W27" s="1299" t="s">
        <v>679</v>
      </c>
      <c r="X27" s="1299" t="s">
        <v>680</v>
      </c>
      <c r="Y27" s="1299" t="s">
        <v>668</v>
      </c>
      <c r="Z27" s="1299" t="s">
        <v>669</v>
      </c>
      <c r="AA27" s="1299" t="s">
        <v>670</v>
      </c>
      <c r="AC27" s="261"/>
    </row>
    <row r="28" spans="2:29" ht="12.5" x14ac:dyDescent="0.25">
      <c r="B28" s="1095"/>
      <c r="C28" s="37" t="s">
        <v>653</v>
      </c>
      <c r="D28" s="37"/>
      <c r="E28" s="1409"/>
      <c r="F28" s="1426"/>
      <c r="G28" s="362"/>
      <c r="H28" s="362"/>
      <c r="I28" s="362"/>
      <c r="J28" s="402"/>
      <c r="K28" s="1096"/>
      <c r="L28" s="1096"/>
      <c r="M28" s="1096"/>
      <c r="N28" s="1378"/>
      <c r="O28" s="1393">
        <f>IFERROR(IF(AA28=TRUE,$Y28,0),'Hidden Lists and Summaries'!$C$158)</f>
        <v>0</v>
      </c>
      <c r="P28" s="1394">
        <f>IFERROR(IF($AA28=TRUE, $Z28, 0),'Hidden Lists and Summaries'!$C$158)</f>
        <v>0</v>
      </c>
      <c r="Q28" s="1099"/>
      <c r="T28" s="1381">
        <f>$G28</f>
        <v>0</v>
      </c>
      <c r="U28" s="1382">
        <f>$H28</f>
        <v>0</v>
      </c>
      <c r="V28" s="790">
        <f>$F28</f>
        <v>0</v>
      </c>
      <c r="W28" s="790" t="e" cm="1">
        <f t="array" ref="W28">_xlfn.IFS(($E28='Hidden Lists and Summaries'!$B$87) * ($I28&lt;&gt;""),$I28,$E28='Hidden Lists and Summaries'!$B$87,VLOOKUP($F8,Transport_Distance_Based_Emission_Factors_Table[],2,FALSE), $E28='Hidden Lists and Summaries'!$B$86,$U28*$U8/1000*$V8)</f>
        <v>#N/A</v>
      </c>
      <c r="X28" s="790" t="e" cm="1">
        <f t="array" ref="X28">_xlfn.IFS(($E28='Hidden Lists and Summaries'!$B$87)*($J28&lt;&gt;""),$J28,$E28='Hidden Lists and Summaries'!$B$87,VLOOKUP($F8,Transport_Distance_Based_Emission_Factors_Table[],3,FALSE), $E28='Hidden Lists and Summaries'!$B$86,$U28*$U8/1000*$W8)</f>
        <v>#N/A</v>
      </c>
      <c r="Y28" s="1382" t="e">
        <f>$W28*$T28*$V28</f>
        <v>#N/A</v>
      </c>
      <c r="Z28" s="1383" t="e">
        <f>$X28*$T28*$V28</f>
        <v>#N/A</v>
      </c>
      <c r="AA28" s="783" t="b">
        <f>$E8='Hidden Lists and Summaries'!$B$79</f>
        <v>0</v>
      </c>
      <c r="AC28" s="261"/>
    </row>
    <row r="29" spans="2:29" ht="12.5" x14ac:dyDescent="0.25">
      <c r="B29" s="1095"/>
      <c r="C29" s="37" t="s">
        <v>657</v>
      </c>
      <c r="D29" s="37"/>
      <c r="E29" s="1412"/>
      <c r="F29" s="1427"/>
      <c r="G29" s="366"/>
      <c r="H29" s="366"/>
      <c r="I29" s="366"/>
      <c r="J29" s="1658"/>
      <c r="K29" s="1096"/>
      <c r="L29" s="1096"/>
      <c r="M29" s="1096"/>
      <c r="N29" s="1384"/>
      <c r="O29" s="1304">
        <f>IFERROR(IF(AA29=TRUE,$Y29,0),'Hidden Lists and Summaries'!$C$158)</f>
        <v>0</v>
      </c>
      <c r="P29" s="1385">
        <f>IFERROR(IF($AA29=TRUE, $Z29, 0),'Hidden Lists and Summaries'!$C$158)</f>
        <v>0</v>
      </c>
      <c r="Q29" s="1099"/>
      <c r="T29" s="530">
        <f>$G29</f>
        <v>0</v>
      </c>
      <c r="U29" s="227">
        <f t="shared" ref="U29:U31" si="3">$H29</f>
        <v>0</v>
      </c>
      <c r="V29">
        <f>$F29</f>
        <v>0</v>
      </c>
      <c r="W29" t="e" cm="1">
        <f t="array" ref="W29">_xlfn.IFS(($E29='Hidden Lists and Summaries'!$B$87) * ($I29&lt;&gt;""),$I29,$E29='Hidden Lists and Summaries'!$B$87,VLOOKUP($F9,Transport_Distance_Based_Emission_Factors_Table[],2,FALSE), $E29='Hidden Lists and Summaries'!$B$86,$U29*$U9/1000*$V9)</f>
        <v>#N/A</v>
      </c>
      <c r="X29" t="e" cm="1">
        <f t="array" ref="X29">_xlfn.IFS($E29='Hidden Lists and Summaries'!$B$87,VLOOKUP($F9,Transport_Distance_Based_Emission_Factors_Table[],3,FALSE), $E29='Hidden Lists and Summaries'!$B$86,$U29*$U9/1000*$W9)</f>
        <v>#N/A</v>
      </c>
      <c r="Y29" s="227" t="e">
        <f t="shared" ref="Y29:Y31" si="4">$W29*$T29*$V29</f>
        <v>#N/A</v>
      </c>
      <c r="Z29" s="1386" t="e">
        <f t="shared" ref="Z29:Z31" si="5">$X29*$T29*$V29</f>
        <v>#N/A</v>
      </c>
      <c r="AA29" s="784" t="b">
        <f>$E9='Hidden Lists and Summaries'!$B$79</f>
        <v>0</v>
      </c>
      <c r="AC29" s="261"/>
    </row>
    <row r="30" spans="2:29" ht="12.5" x14ac:dyDescent="0.25">
      <c r="B30" s="1095"/>
      <c r="C30" s="37" t="s">
        <v>658</v>
      </c>
      <c r="D30" s="37"/>
      <c r="E30" s="1412"/>
      <c r="F30" s="1428"/>
      <c r="G30" s="366"/>
      <c r="H30" s="366"/>
      <c r="I30" s="366"/>
      <c r="J30" s="1658"/>
      <c r="K30" s="1096"/>
      <c r="L30" s="1096"/>
      <c r="M30" s="1096"/>
      <c r="N30" s="1384"/>
      <c r="O30" s="1304">
        <f>IFERROR(IF(AA30=TRUE,$Y30,0),'Hidden Lists and Summaries'!$C$158)</f>
        <v>0</v>
      </c>
      <c r="P30" s="1385">
        <f>IFERROR(IF($AA30=TRUE, $Z30, 0),'Hidden Lists and Summaries'!$C$158)</f>
        <v>0</v>
      </c>
      <c r="Q30" s="1099"/>
      <c r="T30" s="530">
        <f>$G30</f>
        <v>0</v>
      </c>
      <c r="U30" s="227">
        <f t="shared" si="3"/>
        <v>0</v>
      </c>
      <c r="V30">
        <f>$F30</f>
        <v>0</v>
      </c>
      <c r="W30" t="e" cm="1">
        <f t="array" ref="W30">_xlfn.IFS(($E30='Hidden Lists and Summaries'!$B$87) * ($I30&lt;&gt;""),$I30,$E30='Hidden Lists and Summaries'!$B$87,VLOOKUP($F10,Transport_Distance_Based_Emission_Factors_Table[],2,FALSE), $E30='Hidden Lists and Summaries'!$B$86,$U30*$U10/1000*$V10)</f>
        <v>#N/A</v>
      </c>
      <c r="X30" t="e" cm="1">
        <f t="array" ref="X30">_xlfn.IFS($E30='Hidden Lists and Summaries'!$B$87,VLOOKUP($F10,Transport_Distance_Based_Emission_Factors_Table[],3,FALSE), $E30='Hidden Lists and Summaries'!$B$86,$U30*$U10/1000*$W10)</f>
        <v>#N/A</v>
      </c>
      <c r="Y30" s="227" t="e">
        <f t="shared" si="4"/>
        <v>#N/A</v>
      </c>
      <c r="Z30" s="1386" t="e">
        <f t="shared" si="5"/>
        <v>#N/A</v>
      </c>
      <c r="AA30" s="784" t="b">
        <f>$E10='Hidden Lists and Summaries'!$B$79</f>
        <v>0</v>
      </c>
      <c r="AC30" s="261"/>
    </row>
    <row r="31" spans="2:29" ht="12.5" x14ac:dyDescent="0.25">
      <c r="B31" s="1095"/>
      <c r="C31" s="37" t="s">
        <v>659</v>
      </c>
      <c r="D31" s="37"/>
      <c r="E31" s="1419"/>
      <c r="F31" s="1429"/>
      <c r="G31" s="1420"/>
      <c r="H31" s="371"/>
      <c r="I31" s="371"/>
      <c r="J31" s="372"/>
      <c r="K31" s="1096"/>
      <c r="L31" s="1096"/>
      <c r="M31" s="1096"/>
      <c r="N31" s="1384"/>
      <c r="O31" s="1304">
        <f>IFERROR(IF(AA31=TRUE,$Y31,0),'Hidden Lists and Summaries'!$C$158)</f>
        <v>0</v>
      </c>
      <c r="P31" s="1385">
        <f>IFERROR(IF($AA31=TRUE, $Z31, 0),'Hidden Lists and Summaries'!$C$158)</f>
        <v>0</v>
      </c>
      <c r="Q31" s="1099"/>
      <c r="T31" s="1387">
        <f>$G31</f>
        <v>0</v>
      </c>
      <c r="U31" s="1388">
        <f t="shared" si="3"/>
        <v>0</v>
      </c>
      <c r="V31" s="322">
        <f>$F31</f>
        <v>0</v>
      </c>
      <c r="W31" s="322" t="e" cm="1">
        <f t="array" ref="W31">_xlfn.IFS(($E31='Hidden Lists and Summaries'!$B$87) * ($I31&lt;&gt;""),$I31,$E31='Hidden Lists and Summaries'!$B$87,VLOOKUP($F11,Transport_Distance_Based_Emission_Factors_Table[],2,FALSE), $E31='Hidden Lists and Summaries'!$B$86,$U31*$U11/1000*$V11)</f>
        <v>#N/A</v>
      </c>
      <c r="X31" s="322" t="e" cm="1">
        <f t="array" ref="X31">_xlfn.IFS($E31='Hidden Lists and Summaries'!$B$87,VLOOKUP($F11,Transport_Distance_Based_Emission_Factors_Table[],3,FALSE), $E31='Hidden Lists and Summaries'!$B$86,$U31*$U11/1000*$W11)</f>
        <v>#N/A</v>
      </c>
      <c r="Y31" s="1388" t="e">
        <f t="shared" si="4"/>
        <v>#N/A</v>
      </c>
      <c r="Z31" s="1389" t="e">
        <f t="shared" si="5"/>
        <v>#N/A</v>
      </c>
      <c r="AA31" s="785" t="b">
        <f>$E11='Hidden Lists and Summaries'!$B$79</f>
        <v>0</v>
      </c>
      <c r="AC31" s="261"/>
    </row>
    <row r="32" spans="2:29" ht="13" x14ac:dyDescent="0.25">
      <c r="B32" s="1105"/>
      <c r="C32" s="1106"/>
      <c r="D32" s="1106"/>
      <c r="E32" s="1106"/>
      <c r="F32" s="1106"/>
      <c r="G32" s="1106"/>
      <c r="H32" s="1106"/>
      <c r="I32" s="1106"/>
      <c r="J32" s="1106"/>
      <c r="K32" s="1106"/>
      <c r="L32" s="1106"/>
      <c r="M32" s="1106"/>
      <c r="N32" s="1390" t="s">
        <v>120</v>
      </c>
      <c r="O32" s="1391">
        <f>SUM(O28:O31)</f>
        <v>0</v>
      </c>
      <c r="P32" s="1392">
        <f>SUM(P28:P31)</f>
        <v>0</v>
      </c>
      <c r="Q32" s="1107"/>
      <c r="T32" s="263"/>
      <c r="AC32" s="261"/>
    </row>
    <row r="33" spans="1:33" ht="12.5" x14ac:dyDescent="0.25">
      <c r="T33" s="263"/>
      <c r="AC33" s="261"/>
    </row>
    <row r="34" spans="1:33" ht="12.5" x14ac:dyDescent="0.25">
      <c r="B34" s="1081"/>
      <c r="C34" s="1082"/>
      <c r="D34" s="1082"/>
      <c r="E34" s="1082"/>
      <c r="F34" s="1082"/>
      <c r="G34" s="1082"/>
      <c r="H34" s="1082"/>
      <c r="I34" s="1082"/>
      <c r="J34" s="1082"/>
      <c r="K34" s="1082"/>
      <c r="L34" s="1082"/>
      <c r="M34" s="1082"/>
      <c r="N34" s="1082"/>
      <c r="O34" s="1082"/>
      <c r="P34" s="1082"/>
      <c r="Q34" s="1083"/>
      <c r="T34" s="263"/>
      <c r="AC34" s="261"/>
    </row>
    <row r="35" spans="1:33" ht="15.5" x14ac:dyDescent="0.25">
      <c r="B35" s="1084"/>
      <c r="C35" s="1109" t="s">
        <v>1357</v>
      </c>
      <c r="D35" s="1086"/>
      <c r="E35" s="1086"/>
      <c r="F35" s="1086"/>
      <c r="G35" s="1086"/>
      <c r="H35" s="1086"/>
      <c r="I35" s="1086"/>
      <c r="J35" s="1086"/>
      <c r="K35" s="1086"/>
      <c r="L35" s="1086"/>
      <c r="M35" s="1086"/>
      <c r="N35" s="1086"/>
      <c r="O35" s="1086"/>
      <c r="P35" s="1086"/>
      <c r="Q35" s="1087"/>
      <c r="T35" s="263"/>
      <c r="AC35" s="261"/>
    </row>
    <row r="36" spans="1:33" ht="15.5" x14ac:dyDescent="0.25">
      <c r="B36" s="1089"/>
      <c r="C36" s="1090"/>
      <c r="D36" s="1090"/>
      <c r="E36" s="1091" t="s">
        <v>682</v>
      </c>
      <c r="F36" s="1091" t="s">
        <v>683</v>
      </c>
      <c r="G36" s="1111" t="s">
        <v>673</v>
      </c>
      <c r="H36" s="1091" t="s">
        <v>1376</v>
      </c>
      <c r="I36" s="1091" t="s">
        <v>1367</v>
      </c>
      <c r="J36" s="1090"/>
      <c r="K36" s="1090"/>
      <c r="L36" s="1090"/>
      <c r="M36" s="1090"/>
      <c r="N36" s="1090"/>
      <c r="O36" s="1377" t="s">
        <v>665</v>
      </c>
      <c r="P36" s="1377" t="s">
        <v>666</v>
      </c>
      <c r="Q36" s="1094"/>
      <c r="T36" s="263"/>
      <c r="AC36" s="261"/>
    </row>
    <row r="37" spans="1:33" ht="15.5" x14ac:dyDescent="0.25">
      <c r="A37" s="261"/>
      <c r="B37" s="1095"/>
      <c r="C37" s="1096"/>
      <c r="D37" s="1096"/>
      <c r="E37" s="1096"/>
      <c r="F37" s="1096"/>
      <c r="G37" s="1098"/>
      <c r="H37" s="1096"/>
      <c r="I37" s="1096"/>
      <c r="J37" s="1096"/>
      <c r="K37" s="1096"/>
      <c r="L37" s="1096"/>
      <c r="M37" s="1096"/>
      <c r="N37" s="1096"/>
      <c r="O37" s="1096"/>
      <c r="P37" s="1096"/>
      <c r="Q37" s="1099"/>
      <c r="T37" s="1299" t="s">
        <v>663</v>
      </c>
      <c r="U37" s="1299" t="s">
        <v>685</v>
      </c>
      <c r="V37" s="1299" t="s">
        <v>686</v>
      </c>
      <c r="W37" s="1299" t="s">
        <v>1375</v>
      </c>
      <c r="X37" s="1299" t="s">
        <v>688</v>
      </c>
      <c r="Y37" s="1299" t="s">
        <v>689</v>
      </c>
      <c r="Z37" s="1299" t="s">
        <v>690</v>
      </c>
      <c r="AA37" s="1299" t="s">
        <v>691</v>
      </c>
      <c r="AB37" s="1299" t="s">
        <v>692</v>
      </c>
      <c r="AC37" s="1395" t="s">
        <v>693</v>
      </c>
    </row>
    <row r="38" spans="1:33" ht="13" x14ac:dyDescent="0.25">
      <c r="B38" s="1095"/>
      <c r="C38" s="37" t="s">
        <v>653</v>
      </c>
      <c r="D38" s="37"/>
      <c r="E38" s="1409"/>
      <c r="F38" s="1426"/>
      <c r="G38" s="362"/>
      <c r="H38" s="1431"/>
      <c r="I38" s="1432"/>
      <c r="J38" s="1847" t="str">
        <f>IF(IFERROR($X38,0)&gt;1,"Distance of other products cannot exceed total distance","")</f>
        <v/>
      </c>
      <c r="K38" s="1096"/>
      <c r="L38" s="1096"/>
      <c r="M38" s="1096"/>
      <c r="N38" s="1182"/>
      <c r="O38" s="1183">
        <f>IFERROR(IF($AC38=TRUE,MIN($X38,1)*Y38,0),'Hidden Lists and Summaries'!$C$158)</f>
        <v>0</v>
      </c>
      <c r="P38" s="1184">
        <f>IFERROR(IF($AC38=TRUE,MIN($X38,1)*Z38,0),'Hidden Lists and Summaries'!$C$158)</f>
        <v>0</v>
      </c>
      <c r="Q38" s="1099"/>
      <c r="T38" s="786" cm="1">
        <f t="array" ref="T38">_xlfn.IFS(($E8='Hidden Lists and Summaries'!$B$78)*($E18='Hidden Lists and Summaries'!$B$83),G18,$E8='Hidden Lists and Summaries'!$B$79,$G28,TRUE,$I38)</f>
        <v>0</v>
      </c>
      <c r="U38" s="790" cm="1">
        <f t="array" ref="U38">_xlfn.IFS(($E8='Hidden Lists and Summaries'!$B$79),$F28,TRUE,$G38)</f>
        <v>0</v>
      </c>
      <c r="V38" s="790">
        <f>F38</f>
        <v>0</v>
      </c>
      <c r="W38" s="1382">
        <f>IF(E38='Hidden Lists and Summaries'!$B$142,T38,H38)</f>
        <v>0</v>
      </c>
      <c r="X38" t="e" cm="1">
        <f t="array" ref="X38">_xlfn.IFS($E38='Hidden Lists and Summaries'!$B$143,($V38*$W38)/($U38*$T38),$E38='Hidden Lists and Summaries'!$B$142,$V38/$U38)</f>
        <v>#N/A</v>
      </c>
      <c r="Y38" s="790" t="e" cm="1">
        <f t="array" ref="Y38">_xlfn.IFS($E8='Hidden Lists and Summaries'!$B$78,$O18,$E8='Hidden Lists and Summaries'!$B$79,$O28)</f>
        <v>#N/A</v>
      </c>
      <c r="Z38" s="923" t="e" cm="1">
        <f t="array" ref="Z38">_xlfn.IFS($E8='Hidden Lists and Summaries'!$B$78,$P18,$E8='Hidden Lists and Summaries'!$B$79,$P28)</f>
        <v>#N/A</v>
      </c>
      <c r="AA38" s="786" t="b">
        <f>$E8='Hidden Lists and Summaries'!$B$79</f>
        <v>0</v>
      </c>
      <c r="AB38" s="790" t="b" cm="1">
        <f t="array" ref="AB38">_xlfn.IFS(($E8='Hidden Lists and Summaries'!$B$78)*($E18='Hidden Lists and Summaries'!$B$83),TRUE,$E8='Hidden Lists and Summaries'!$B$79,TRUE,TRUE,FALSE)</f>
        <v>0</v>
      </c>
      <c r="AC38" s="1383" t="b">
        <f>SUM($O18:$P18,$O28:$P28)&gt;0</f>
        <v>0</v>
      </c>
      <c r="AG38" s="227"/>
    </row>
    <row r="39" spans="1:33" ht="13" x14ac:dyDescent="0.25">
      <c r="B39" s="1095"/>
      <c r="C39" s="37" t="s">
        <v>657</v>
      </c>
      <c r="D39" s="37"/>
      <c r="E39" s="1412"/>
      <c r="F39" s="1427"/>
      <c r="G39" s="1413"/>
      <c r="H39" s="1434"/>
      <c r="I39" s="1435"/>
      <c r="J39" s="1847" t="str">
        <f t="shared" ref="J39:J41" si="6">IF(IFERROR($X39,0)&gt;1,"Distance of other products cannot exceed total distance","")</f>
        <v/>
      </c>
      <c r="K39" s="1096"/>
      <c r="L39" s="1096"/>
      <c r="M39" s="1096"/>
      <c r="N39" s="1130"/>
      <c r="O39" s="1131">
        <f>IFERROR(IF($AC39=TRUE,MIN($X39,1)*Y39,0),'Hidden Lists and Summaries'!$C$158)</f>
        <v>0</v>
      </c>
      <c r="P39" s="1132">
        <f>IFERROR(IF($AC39=TRUE,MIN($X39,1)*Z39,0),'Hidden Lists and Summaries'!$C$158)</f>
        <v>0</v>
      </c>
      <c r="Q39" s="1099"/>
      <c r="T39" s="263" cm="1">
        <f t="array" ref="T39">_xlfn.IFS(($E9='Hidden Lists and Summaries'!$B$78)*($E19='Hidden Lists and Summaries'!$B$83),G19,$E9='Hidden Lists and Summaries'!$B$79,$G29,TRUE,$I39)</f>
        <v>0</v>
      </c>
      <c r="U39" cm="1">
        <f t="array" ref="U39">_xlfn.IFS(($E9='Hidden Lists and Summaries'!$B$79),$F29,TRUE,$G39)</f>
        <v>0</v>
      </c>
      <c r="V39">
        <f>F39</f>
        <v>0</v>
      </c>
      <c r="W39" s="227">
        <f>IF(E39='Hidden Lists and Summaries'!$B$142,T39,H39)</f>
        <v>0</v>
      </c>
      <c r="X39" t="e" cm="1">
        <f t="array" ref="X39">_xlfn.IFS($E39='Hidden Lists and Summaries'!$B$143,($V39*$W39)/($U39*$T39),$E39='Hidden Lists and Summaries'!$B$142,$V39/$U39)</f>
        <v>#N/A</v>
      </c>
      <c r="Y39" t="e" cm="1">
        <f t="array" ref="Y39">_xlfn.IFS($E9='Hidden Lists and Summaries'!$B$78,$O19,$E9='Hidden Lists and Summaries'!$B$79,$O29)</f>
        <v>#N/A</v>
      </c>
      <c r="Z39" s="261" t="e" cm="1">
        <f t="array" ref="Z39">_xlfn.IFS($E9='Hidden Lists and Summaries'!$B$78,$P19,$E9='Hidden Lists and Summaries'!$B$79,$P29)</f>
        <v>#N/A</v>
      </c>
      <c r="AA39" s="263" t="b">
        <f>$E9='Hidden Lists and Summaries'!$B$79</f>
        <v>0</v>
      </c>
      <c r="AB39" t="b" cm="1">
        <f t="array" ref="AB39">_xlfn.IFS(($E9='Hidden Lists and Summaries'!$B$78)*($E19='Hidden Lists and Summaries'!$B$83),TRUE,$E9='Hidden Lists and Summaries'!$B$79,TRUE,TRUE,FALSE)</f>
        <v>0</v>
      </c>
      <c r="AC39" s="1386" t="b">
        <f>SUM($O19:$P19,$O29:$P29)&gt;0</f>
        <v>0</v>
      </c>
    </row>
    <row r="40" spans="1:33" ht="13" x14ac:dyDescent="0.25">
      <c r="B40" s="1095"/>
      <c r="C40" s="37" t="s">
        <v>658</v>
      </c>
      <c r="D40" s="37"/>
      <c r="E40" s="1412"/>
      <c r="F40" s="1428"/>
      <c r="G40" s="1413"/>
      <c r="H40" s="1436"/>
      <c r="I40" s="1437"/>
      <c r="J40" s="1847" t="str">
        <f t="shared" si="6"/>
        <v/>
      </c>
      <c r="K40" s="1096"/>
      <c r="L40" s="1096"/>
      <c r="M40" s="1096"/>
      <c r="N40" s="1130"/>
      <c r="O40" s="1131">
        <f>IFERROR(IF($AC40=TRUE,MIN($X40,1)*Y40,0),'Hidden Lists and Summaries'!$C$158)</f>
        <v>0</v>
      </c>
      <c r="P40" s="1132">
        <f>IFERROR(IF($AC40=TRUE,MIN($X40,1)*Z40,0),'Hidden Lists and Summaries'!$C$158)</f>
        <v>0</v>
      </c>
      <c r="Q40" s="1099"/>
      <c r="T40" s="263" cm="1">
        <f t="array" ref="T40">_xlfn.IFS(($E10='Hidden Lists and Summaries'!$B$78)*($E20='Hidden Lists and Summaries'!$B$83),G20,$E10='Hidden Lists and Summaries'!$B$79,$G30,TRUE,$I40)</f>
        <v>0</v>
      </c>
      <c r="U40" cm="1">
        <f t="array" ref="U40">_xlfn.IFS(($E10='Hidden Lists and Summaries'!$B$79),$F30,TRUE,$G40)</f>
        <v>0</v>
      </c>
      <c r="V40">
        <f>F40</f>
        <v>0</v>
      </c>
      <c r="W40" s="227">
        <f>IF(E40='Hidden Lists and Summaries'!$B$142,T40,H40)</f>
        <v>0</v>
      </c>
      <c r="X40" t="e" cm="1">
        <f t="array" ref="X40">_xlfn.IFS($E40='Hidden Lists and Summaries'!$B$143,($V40*$W40)/($U40*$T40),$E40='Hidden Lists and Summaries'!$B$142,$V40/$U40)</f>
        <v>#N/A</v>
      </c>
      <c r="Y40" t="e" cm="1">
        <f t="array" ref="Y40">_xlfn.IFS($E10='Hidden Lists and Summaries'!$B$78,$O20,$E10='Hidden Lists and Summaries'!$B$79,$O30)</f>
        <v>#N/A</v>
      </c>
      <c r="Z40" s="261" t="e" cm="1">
        <f t="array" ref="Z40">_xlfn.IFS($E10='Hidden Lists and Summaries'!$B$78,$P20,$E10='Hidden Lists and Summaries'!$B$79,$P30)</f>
        <v>#N/A</v>
      </c>
      <c r="AA40" s="263" t="b">
        <f>$E10='Hidden Lists and Summaries'!$B$79</f>
        <v>0</v>
      </c>
      <c r="AB40" t="b" cm="1">
        <f t="array" ref="AB40">_xlfn.IFS(($E10='Hidden Lists and Summaries'!$B$78)*($E20='Hidden Lists and Summaries'!$B$83),TRUE,$E10='Hidden Lists and Summaries'!$B$79,TRUE,TRUE,FALSE)</f>
        <v>0</v>
      </c>
      <c r="AC40" s="1386" t="b">
        <f>SUM($O20:$P20,$O30:$P30)&gt;0</f>
        <v>0</v>
      </c>
    </row>
    <row r="41" spans="1:33" ht="13" x14ac:dyDescent="0.25">
      <c r="B41" s="1095"/>
      <c r="C41" s="37" t="s">
        <v>659</v>
      </c>
      <c r="D41" s="37"/>
      <c r="E41" s="1419"/>
      <c r="F41" s="1429"/>
      <c r="G41" s="371"/>
      <c r="H41" s="1439"/>
      <c r="I41" s="1440"/>
      <c r="J41" s="1847" t="str">
        <f t="shared" si="6"/>
        <v/>
      </c>
      <c r="K41" s="1096"/>
      <c r="L41" s="1096"/>
      <c r="M41" s="1096"/>
      <c r="N41" s="1130"/>
      <c r="O41" s="1131">
        <f>IFERROR(IF($AC41=TRUE,MIN($X41,1)*Y41,0),'Hidden Lists and Summaries'!$C$158)</f>
        <v>0</v>
      </c>
      <c r="P41" s="1132">
        <f>IFERROR(IF($AC41=TRUE,MIN($X41,1)*Z41,0),'Hidden Lists and Summaries'!$C$158)</f>
        <v>0</v>
      </c>
      <c r="Q41" s="1099"/>
      <c r="T41" s="321" cm="1">
        <f t="array" ref="T41">_xlfn.IFS(($E11='Hidden Lists and Summaries'!$B$78)*($E21='Hidden Lists and Summaries'!$B$83),G21,$E11='Hidden Lists and Summaries'!$B$79,$G31,TRUE,$I41)</f>
        <v>0</v>
      </c>
      <c r="U41" s="322" cm="1">
        <f t="array" ref="U41">_xlfn.IFS(($E11='Hidden Lists and Summaries'!$B$79),$F31,TRUE,$G41)</f>
        <v>0</v>
      </c>
      <c r="V41" s="322">
        <f>F41</f>
        <v>0</v>
      </c>
      <c r="W41" s="1388">
        <f>IF(E41='Hidden Lists and Summaries'!$B$142,T41,H41)</f>
        <v>0</v>
      </c>
      <c r="X41" s="322" t="e" cm="1">
        <f t="array" ref="X41">_xlfn.IFS($E41='Hidden Lists and Summaries'!$B$143,($V41*$W41)/($U41*$T41),$E41='Hidden Lists and Summaries'!$B$142,$V41/$U41)</f>
        <v>#N/A</v>
      </c>
      <c r="Y41" s="322" t="e" cm="1">
        <f t="array" ref="Y41">_xlfn.IFS($E11='Hidden Lists and Summaries'!$B$78,$O21,$E11='Hidden Lists and Summaries'!$B$79,$O31)</f>
        <v>#N/A</v>
      </c>
      <c r="Z41" s="924" t="e" cm="1">
        <f t="array" ref="Z41">_xlfn.IFS($E11='Hidden Lists and Summaries'!$B$78,$P21,$E11='Hidden Lists and Summaries'!$B$79,$P31)</f>
        <v>#N/A</v>
      </c>
      <c r="AA41" s="321" t="b">
        <f>$E11='Hidden Lists and Summaries'!$B$79</f>
        <v>0</v>
      </c>
      <c r="AB41" s="322" t="b" cm="1">
        <f t="array" ref="AB41">_xlfn.IFS(($E11='Hidden Lists and Summaries'!$B$78)*($E21='Hidden Lists and Summaries'!$B$83),TRUE,$E11='Hidden Lists and Summaries'!$B$79,TRUE,TRUE,FALSE)</f>
        <v>0</v>
      </c>
      <c r="AC41" s="1389" t="b">
        <f>SUM($O21:$P21,$O31:$P31)&gt;0</f>
        <v>0</v>
      </c>
    </row>
    <row r="42" spans="1:33" ht="13" x14ac:dyDescent="0.25">
      <c r="B42" s="39"/>
      <c r="C42" s="1375"/>
      <c r="D42" s="1375"/>
      <c r="E42" s="1375"/>
      <c r="F42" s="1375"/>
      <c r="G42" s="1375"/>
      <c r="H42" s="1375"/>
      <c r="I42" s="1375"/>
      <c r="J42" s="1375"/>
      <c r="K42" s="1375"/>
      <c r="L42" s="1375"/>
      <c r="M42" s="1375"/>
      <c r="N42" s="1224" t="s">
        <v>120</v>
      </c>
      <c r="O42" s="1396">
        <f>SUM(O38:O41)</f>
        <v>0</v>
      </c>
      <c r="P42" s="1287">
        <f>SUM(P38:P41)</f>
        <v>0</v>
      </c>
      <c r="Q42" s="40"/>
      <c r="T42" s="263"/>
      <c r="AC42" s="261"/>
    </row>
    <row r="43" spans="1:33" ht="12.5" x14ac:dyDescent="0.25">
      <c r="T43" s="263"/>
      <c r="AC43" s="261"/>
    </row>
    <row r="44" spans="1:33" ht="15.5" x14ac:dyDescent="0.25">
      <c r="B44" s="1081"/>
      <c r="C44" s="1082"/>
      <c r="D44" s="1082"/>
      <c r="E44" s="1082"/>
      <c r="F44" s="1890" t="s">
        <v>1373</v>
      </c>
      <c r="G44" s="1890"/>
      <c r="H44" s="1890"/>
      <c r="I44" s="1082"/>
      <c r="J44" s="1082"/>
      <c r="K44" s="1082"/>
      <c r="L44" s="1082"/>
      <c r="M44" s="1082"/>
      <c r="N44" s="1082"/>
      <c r="O44" s="1082"/>
      <c r="P44" s="1082"/>
      <c r="Q44" s="1083"/>
      <c r="T44" s="263"/>
      <c r="V44" s="227"/>
      <c r="AC44" s="261"/>
    </row>
    <row r="45" spans="1:33" ht="15.5" x14ac:dyDescent="0.25">
      <c r="B45" s="1084"/>
      <c r="C45" s="1109" t="s">
        <v>1366</v>
      </c>
      <c r="D45" s="1086"/>
      <c r="E45" s="1086"/>
      <c r="F45" s="1086"/>
      <c r="G45" s="1086"/>
      <c r="H45" s="1086"/>
      <c r="I45" s="1086"/>
      <c r="J45" s="1086"/>
      <c r="K45" s="1086"/>
      <c r="L45" s="1086"/>
      <c r="M45" s="1086"/>
      <c r="N45" s="1086"/>
      <c r="O45" s="1086"/>
      <c r="P45" s="1086"/>
      <c r="Q45" s="1087"/>
      <c r="T45" s="263"/>
      <c r="AC45" s="261"/>
    </row>
    <row r="46" spans="1:33" ht="15.5" x14ac:dyDescent="0.25">
      <c r="B46" s="1089"/>
      <c r="C46" s="1090"/>
      <c r="D46" s="1090"/>
      <c r="E46" s="1091" t="s">
        <v>695</v>
      </c>
      <c r="F46" s="1091" t="s">
        <v>696</v>
      </c>
      <c r="G46" s="1253" t="s">
        <v>1371</v>
      </c>
      <c r="H46" s="1092"/>
      <c r="I46" s="1092"/>
      <c r="J46" s="1092"/>
      <c r="K46" s="1092"/>
      <c r="L46" s="1092"/>
      <c r="M46" s="1090"/>
      <c r="N46" s="1090"/>
      <c r="O46" s="1377" t="s">
        <v>1372</v>
      </c>
      <c r="P46" s="1377"/>
      <c r="Q46" s="1094"/>
      <c r="T46" s="263"/>
      <c r="AC46" s="261"/>
    </row>
    <row r="47" spans="1:33" ht="15.5" x14ac:dyDescent="0.3">
      <c r="B47" s="1095"/>
      <c r="C47" s="264"/>
      <c r="D47" s="37"/>
      <c r="E47" s="1096"/>
      <c r="F47" s="1096"/>
      <c r="G47" s="1098"/>
      <c r="H47" s="1098"/>
      <c r="I47" s="1098"/>
      <c r="J47" s="1098"/>
      <c r="K47" s="1098"/>
      <c r="L47" s="1098"/>
      <c r="M47" s="1096"/>
      <c r="N47" s="1096"/>
      <c r="O47" s="1096"/>
      <c r="P47" s="1096"/>
      <c r="Q47" s="1099"/>
      <c r="T47" s="1299" t="s">
        <v>663</v>
      </c>
      <c r="U47" s="1299" t="s">
        <v>678</v>
      </c>
      <c r="V47" s="1360" t="s">
        <v>1370</v>
      </c>
      <c r="AC47" s="261"/>
    </row>
    <row r="48" spans="1:33" ht="15.5" x14ac:dyDescent="0.25">
      <c r="B48" s="1095"/>
      <c r="C48" s="37" t="s">
        <v>697</v>
      </c>
      <c r="D48" s="37"/>
      <c r="E48" s="1665"/>
      <c r="F48" s="1843"/>
      <c r="G48" s="1844"/>
      <c r="H48" s="1098"/>
      <c r="I48" s="1098"/>
      <c r="J48" s="1098"/>
      <c r="K48" s="1098"/>
      <c r="L48" s="1098"/>
      <c r="M48" s="1096"/>
      <c r="N48" s="1096"/>
      <c r="O48" s="1182"/>
      <c r="P48" s="1184">
        <f>V48</f>
        <v>0</v>
      </c>
      <c r="Q48" s="1099"/>
      <c r="T48" s="1381">
        <f t="shared" ref="T48:U49" si="7">E48</f>
        <v>0</v>
      </c>
      <c r="U48" s="923">
        <f t="shared" si="7"/>
        <v>0</v>
      </c>
      <c r="V48" s="227">
        <f>iq_batchDurationYears*$G48*$T48</f>
        <v>0</v>
      </c>
      <c r="W48" s="227"/>
      <c r="AC48" s="261"/>
    </row>
    <row r="49" spans="1:29" ht="15.5" x14ac:dyDescent="0.25">
      <c r="B49" s="1095"/>
      <c r="C49" s="37" t="s">
        <v>698</v>
      </c>
      <c r="D49" s="37"/>
      <c r="E49" s="1666"/>
      <c r="F49" s="1845"/>
      <c r="G49" s="1846"/>
      <c r="H49" s="1098"/>
      <c r="I49" s="1098"/>
      <c r="J49" s="1098"/>
      <c r="K49" s="1098"/>
      <c r="L49" s="1098"/>
      <c r="M49" s="1096"/>
      <c r="N49" s="1096"/>
      <c r="O49" s="1130"/>
      <c r="P49" s="1132">
        <f>V49</f>
        <v>0</v>
      </c>
      <c r="Q49" s="1099"/>
      <c r="T49" s="1387">
        <f t="shared" si="7"/>
        <v>0</v>
      </c>
      <c r="U49" s="924">
        <f t="shared" si="7"/>
        <v>0</v>
      </c>
      <c r="V49" s="227">
        <f>iq_batchDurationYears*$G49*$T49</f>
        <v>0</v>
      </c>
      <c r="AC49" s="261"/>
    </row>
    <row r="50" spans="1:29" ht="13" x14ac:dyDescent="0.25">
      <c r="B50" s="1105"/>
      <c r="C50" s="1106"/>
      <c r="D50" s="1106"/>
      <c r="E50" s="1106"/>
      <c r="F50" s="1106"/>
      <c r="G50" s="1106"/>
      <c r="H50" s="1106"/>
      <c r="I50" s="1106"/>
      <c r="J50" s="1106"/>
      <c r="K50" s="1106"/>
      <c r="L50" s="1106"/>
      <c r="M50" s="1106"/>
      <c r="N50" s="1106"/>
      <c r="O50" s="1224" t="s">
        <v>120</v>
      </c>
      <c r="P50" s="1287">
        <f>SUM(P48:P49)</f>
        <v>0</v>
      </c>
      <c r="Q50" s="1107"/>
      <c r="T50" s="263"/>
      <c r="AC50" s="261"/>
    </row>
    <row r="51" spans="1:29" ht="12.5" x14ac:dyDescent="0.25">
      <c r="T51" s="263"/>
      <c r="AC51" s="261"/>
    </row>
    <row r="52" spans="1:29" ht="12.5" x14ac:dyDescent="0.25">
      <c r="B52" s="1081"/>
      <c r="C52" s="1082"/>
      <c r="D52" s="1082"/>
      <c r="E52" s="1082"/>
      <c r="F52" s="1082"/>
      <c r="G52" s="1082"/>
      <c r="H52" s="1082"/>
      <c r="I52" s="1082"/>
      <c r="J52" s="1082"/>
      <c r="K52" s="1082"/>
      <c r="L52" s="1082"/>
      <c r="M52" s="1082"/>
      <c r="N52" s="1082"/>
      <c r="O52" s="1082"/>
      <c r="P52" s="1082"/>
      <c r="Q52" s="1083"/>
      <c r="T52" s="263"/>
      <c r="AC52" s="261"/>
    </row>
    <row r="53" spans="1:29" ht="15.5" x14ac:dyDescent="0.25">
      <c r="B53" s="1084"/>
      <c r="C53" s="1109" t="s">
        <v>1358</v>
      </c>
      <c r="D53" s="1086"/>
      <c r="E53" s="1086"/>
      <c r="F53" s="1086"/>
      <c r="G53" s="1897" t="s">
        <v>700</v>
      </c>
      <c r="H53" s="1086"/>
      <c r="I53" s="1086"/>
      <c r="J53" s="1086"/>
      <c r="K53" s="1086"/>
      <c r="L53" s="1086"/>
      <c r="M53" s="1086"/>
      <c r="N53" s="1086"/>
      <c r="O53" s="1086"/>
      <c r="P53" s="1086"/>
      <c r="Q53" s="1087"/>
      <c r="T53" s="263"/>
      <c r="AC53" s="261"/>
    </row>
    <row r="54" spans="1:29" ht="15.5" x14ac:dyDescent="0.25">
      <c r="B54" s="1089"/>
      <c r="C54" s="1090"/>
      <c r="D54" s="1090"/>
      <c r="E54" s="1091" t="s">
        <v>682</v>
      </c>
      <c r="F54" s="1091" t="s">
        <v>701</v>
      </c>
      <c r="G54" s="1898"/>
      <c r="H54" s="1091" t="s">
        <v>695</v>
      </c>
      <c r="I54" s="1090"/>
      <c r="J54" s="1090"/>
      <c r="K54" s="1090"/>
      <c r="L54" s="1090"/>
      <c r="M54" s="1090"/>
      <c r="N54" s="1090"/>
      <c r="O54" s="1377" t="s">
        <v>1372</v>
      </c>
      <c r="P54" s="1377"/>
      <c r="Q54" s="1094"/>
      <c r="T54" s="263"/>
      <c r="AC54" s="261"/>
    </row>
    <row r="55" spans="1:29" ht="15.5" x14ac:dyDescent="0.3">
      <c r="B55" s="1095"/>
      <c r="C55" s="264"/>
      <c r="D55" s="37"/>
      <c r="E55" s="37"/>
      <c r="F55" s="37"/>
      <c r="G55" s="37"/>
      <c r="H55" s="37"/>
      <c r="I55" s="1096"/>
      <c r="J55" s="1096"/>
      <c r="K55" s="1096"/>
      <c r="L55" s="1096"/>
      <c r="M55" s="1193"/>
      <c r="N55" s="1193"/>
      <c r="O55" s="1193"/>
      <c r="P55" s="1193"/>
      <c r="Q55" s="1099"/>
      <c r="T55" s="1299" t="s">
        <v>663</v>
      </c>
      <c r="U55" s="1299" t="s">
        <v>685</v>
      </c>
      <c r="V55" s="1299" t="s">
        <v>686</v>
      </c>
      <c r="W55" s="1299" t="s">
        <v>687</v>
      </c>
      <c r="X55" s="1299" t="s">
        <v>688</v>
      </c>
      <c r="Y55" s="1299" t="s">
        <v>689</v>
      </c>
      <c r="Z55" s="1299" t="s">
        <v>690</v>
      </c>
      <c r="AA55" s="1299" t="s">
        <v>702</v>
      </c>
      <c r="AC55" s="261"/>
    </row>
    <row r="56" spans="1:29" ht="13" x14ac:dyDescent="0.25">
      <c r="B56" s="1095"/>
      <c r="C56" s="37" t="s">
        <v>697</v>
      </c>
      <c r="D56" s="37"/>
      <c r="E56" s="1409"/>
      <c r="F56" s="1426"/>
      <c r="G56" s="1426"/>
      <c r="H56" s="1432"/>
      <c r="I56" s="1847" t="str">
        <f>IF(IFERROR($X56,0)&gt;1,"Distance of other products cannot exceed total distance","")</f>
        <v/>
      </c>
      <c r="J56" s="1096"/>
      <c r="K56" s="1096"/>
      <c r="L56" s="1096"/>
      <c r="M56" s="1096"/>
      <c r="N56" s="1096"/>
      <c r="O56" s="1182"/>
      <c r="P56" s="1184">
        <f>IFERROR(IF($AA56=TRUE,MIN($X56,1)*Y56,0),'Hidden Lists and Summaries'!$C$158)</f>
        <v>0</v>
      </c>
      <c r="Q56" s="1099"/>
      <c r="T56" s="1381">
        <f>E48</f>
        <v>0</v>
      </c>
      <c r="U56" s="1382">
        <f>U48</f>
        <v>0</v>
      </c>
      <c r="V56" s="790">
        <f>F56</f>
        <v>0</v>
      </c>
      <c r="W56" s="1382">
        <f>G56</f>
        <v>0</v>
      </c>
      <c r="X56" s="790" t="e" cm="1">
        <f t="array" ref="X56">_xlfn.IFS($E56='Hidden Lists and Summaries'!$B$143,($V56*$W56)/($T56*$U56),$E56='Hidden Lists and Summaries'!$B$142,$V56/$U56)</f>
        <v>#N/A</v>
      </c>
      <c r="Y56" s="1382">
        <f>P48</f>
        <v>0</v>
      </c>
      <c r="Z56" s="1382">
        <f>Q48</f>
        <v>0</v>
      </c>
      <c r="AA56" s="783" t="b">
        <f>SUM($P48:$P48)&gt;0</f>
        <v>0</v>
      </c>
      <c r="AC56" s="261"/>
    </row>
    <row r="57" spans="1:29" ht="13" x14ac:dyDescent="0.25">
      <c r="B57" s="1095"/>
      <c r="C57" s="37" t="s">
        <v>698</v>
      </c>
      <c r="D57" s="37"/>
      <c r="E57" s="1445"/>
      <c r="F57" s="1443"/>
      <c r="G57" s="1429"/>
      <c r="H57" s="1446"/>
      <c r="I57" s="1847" t="str">
        <f>IF(IFERROR($X57,0)&gt;1,"Distance of other products cannot exceed total distance","")</f>
        <v/>
      </c>
      <c r="J57" s="1096"/>
      <c r="K57" s="1096"/>
      <c r="L57" s="1096"/>
      <c r="M57" s="1096"/>
      <c r="N57" s="1096"/>
      <c r="O57" s="1130"/>
      <c r="P57" s="1132">
        <f>IFERROR(IF($AA57=TRUE,MIN($X57,1)*Y57,0),'Hidden Lists and Summaries'!$C$158)</f>
        <v>0</v>
      </c>
      <c r="Q57" s="1099"/>
      <c r="T57" s="1387">
        <f>E49</f>
        <v>0</v>
      </c>
      <c r="U57" s="1388">
        <f>U49</f>
        <v>0</v>
      </c>
      <c r="V57" s="322">
        <f>F57</f>
        <v>0</v>
      </c>
      <c r="W57" s="1388">
        <f>G57</f>
        <v>0</v>
      </c>
      <c r="X57" s="322" t="e" cm="1">
        <f t="array" ref="X57">_xlfn.IFS($E57='Hidden Lists and Summaries'!$B$143,($V57*$W57)/($T57*$U57),$E57='Hidden Lists and Summaries'!$B$142,$V57/$U57)</f>
        <v>#N/A</v>
      </c>
      <c r="Y57" s="1388">
        <f>P49</f>
        <v>0</v>
      </c>
      <c r="Z57" s="1388">
        <f>Q49</f>
        <v>0</v>
      </c>
      <c r="AA57" s="785" t="b">
        <f>SUM($P49:$P49)&gt;0</f>
        <v>0</v>
      </c>
      <c r="AC57" s="261"/>
    </row>
    <row r="58" spans="1:29" ht="13" x14ac:dyDescent="0.3">
      <c r="B58" s="1105"/>
      <c r="C58" s="1106"/>
      <c r="D58" s="1106"/>
      <c r="E58" s="1106"/>
      <c r="F58" s="1106"/>
      <c r="G58" s="1106"/>
      <c r="H58" s="1106"/>
      <c r="I58" s="1106"/>
      <c r="J58" s="1106"/>
      <c r="K58" s="1106"/>
      <c r="L58" s="1106"/>
      <c r="M58" s="1106"/>
      <c r="N58" s="1106"/>
      <c r="O58" s="1397" t="s">
        <v>120</v>
      </c>
      <c r="P58" s="1399">
        <f>SUM(P56:P57)</f>
        <v>0</v>
      </c>
      <c r="Q58" s="1107"/>
      <c r="T58" s="263"/>
      <c r="AC58" s="261"/>
    </row>
    <row r="59" spans="1:29" ht="12.75" customHeight="1" x14ac:dyDescent="0.25">
      <c r="T59" s="263"/>
      <c r="AC59" s="261"/>
    </row>
    <row r="60" spans="1:29" ht="12.75" customHeight="1" x14ac:dyDescent="0.25">
      <c r="B60" s="1081"/>
      <c r="C60" s="1082"/>
      <c r="D60" s="1082"/>
      <c r="E60" s="1082"/>
      <c r="F60" s="1082"/>
      <c r="G60" s="1082"/>
      <c r="H60" s="1082"/>
      <c r="I60" s="1082"/>
      <c r="J60" s="1082"/>
      <c r="K60" s="1082"/>
      <c r="L60" s="1082"/>
      <c r="M60" s="1082"/>
      <c r="N60" s="1082"/>
      <c r="O60" s="1082"/>
      <c r="P60" s="1082"/>
      <c r="Q60" s="1083"/>
      <c r="T60" s="263"/>
      <c r="AC60" s="261"/>
    </row>
    <row r="61" spans="1:29" ht="12.75" customHeight="1" x14ac:dyDescent="0.25">
      <c r="B61" s="1084"/>
      <c r="C61" s="1109" t="s">
        <v>1363</v>
      </c>
      <c r="D61" s="1086"/>
      <c r="E61" s="1086"/>
      <c r="F61" s="1086"/>
      <c r="G61" s="1086"/>
      <c r="H61" s="1086"/>
      <c r="I61" s="1086"/>
      <c r="J61" s="1086"/>
      <c r="K61" s="1086"/>
      <c r="L61" s="1086"/>
      <c r="M61" s="1086"/>
      <c r="N61" s="1086"/>
      <c r="O61" s="1086"/>
      <c r="P61" s="1086"/>
      <c r="Q61" s="1087"/>
      <c r="T61" s="263"/>
      <c r="AC61" s="261"/>
    </row>
    <row r="62" spans="1:29" ht="12.75" customHeight="1" x14ac:dyDescent="0.25">
      <c r="B62" s="1089"/>
      <c r="C62" s="1090"/>
      <c r="D62" s="1090"/>
      <c r="E62" s="1091" t="s">
        <v>704</v>
      </c>
      <c r="F62" s="1091" t="s">
        <v>705</v>
      </c>
      <c r="G62" s="1111" t="s">
        <v>706</v>
      </c>
      <c r="H62" s="1091" t="s">
        <v>707</v>
      </c>
      <c r="I62" s="1090"/>
      <c r="J62" s="1090"/>
      <c r="K62" s="1090"/>
      <c r="L62" s="1090"/>
      <c r="M62" s="1090"/>
      <c r="N62" s="1090"/>
      <c r="O62" s="1377"/>
      <c r="P62" s="1377"/>
      <c r="Q62" s="1094"/>
      <c r="T62" s="263"/>
      <c r="AC62" s="261"/>
    </row>
    <row r="63" spans="1:29" ht="12.75" customHeight="1" x14ac:dyDescent="0.25">
      <c r="A63" s="261"/>
      <c r="B63" s="1096"/>
      <c r="C63" s="1096"/>
      <c r="D63" s="1096"/>
      <c r="E63" s="1096"/>
      <c r="F63" s="1096"/>
      <c r="G63" s="1096"/>
      <c r="H63" s="1096"/>
      <c r="I63" s="1096"/>
      <c r="J63" s="1096"/>
      <c r="K63" s="1096"/>
      <c r="L63" s="1096"/>
      <c r="M63" s="1096"/>
      <c r="N63" s="1096"/>
      <c r="O63" s="1096"/>
      <c r="P63" s="1096"/>
      <c r="Q63" s="1195"/>
      <c r="T63" s="1299" t="s">
        <v>708</v>
      </c>
      <c r="U63" s="1299" t="s">
        <v>709</v>
      </c>
      <c r="V63" s="1299" t="s">
        <v>710</v>
      </c>
      <c r="W63" s="1299" t="s">
        <v>706</v>
      </c>
      <c r="X63" s="1299" t="s">
        <v>711</v>
      </c>
      <c r="AC63" s="261"/>
    </row>
    <row r="64" spans="1:29" ht="12.75" customHeight="1" x14ac:dyDescent="0.25">
      <c r="A64" s="261"/>
      <c r="B64" s="37"/>
      <c r="C64" s="37" t="s">
        <v>653</v>
      </c>
      <c r="D64" s="37"/>
      <c r="E64" s="1659"/>
      <c r="F64" s="1431"/>
      <c r="G64" s="1667"/>
      <c r="H64" s="1447"/>
      <c r="I64" s="37"/>
      <c r="J64" s="37"/>
      <c r="K64" s="37"/>
      <c r="L64" s="37"/>
      <c r="M64" s="37"/>
      <c r="N64" s="37"/>
      <c r="O64" s="37"/>
      <c r="P64" s="37"/>
      <c r="Q64" s="38"/>
      <c r="T64" s="1381">
        <f>IF(E38="",V28,$U38-$V38)</f>
        <v>0</v>
      </c>
      <c r="U64" s="790" t="e" cm="1">
        <f t="array" ref="U64">_xlfn.IFS($E64='Hidden Lists and Summaries'!$B$146,$F64)</f>
        <v>#N/A</v>
      </c>
      <c r="V64" s="790">
        <f>$H64</f>
        <v>0</v>
      </c>
      <c r="W64" s="790">
        <f>$G64</f>
        <v>0</v>
      </c>
      <c r="X64" s="923">
        <f>MAX(_xlfn.IFS($E64='Hidden Lists and Summaries'!$B$146,$T64-$U64,$E64='Hidden Lists and Summaries'!$B$147,$V64*$W64,TRUE,0),0)</f>
        <v>0</v>
      </c>
      <c r="AC64" s="261"/>
    </row>
    <row r="65" spans="1:40" ht="12.75" customHeight="1" x14ac:dyDescent="0.25">
      <c r="A65" s="261"/>
      <c r="B65" s="37"/>
      <c r="C65" s="37" t="s">
        <v>657</v>
      </c>
      <c r="D65" s="37"/>
      <c r="E65" s="1662"/>
      <c r="F65" s="1436"/>
      <c r="G65" s="1668"/>
      <c r="H65" s="1448"/>
      <c r="I65" s="37"/>
      <c r="J65" s="37"/>
      <c r="K65" s="37"/>
      <c r="L65" s="37"/>
      <c r="M65" s="37"/>
      <c r="N65" s="37"/>
      <c r="O65" s="37"/>
      <c r="P65" s="37"/>
      <c r="Q65" s="38"/>
      <c r="T65" s="263">
        <f t="shared" ref="T65:T67" si="8">IF(E39="",V29,$U39-$V39)</f>
        <v>0</v>
      </c>
      <c r="U65" t="e" cm="1">
        <f t="array" ref="U65">_xlfn.IFS($E65='Hidden Lists and Summaries'!$B$146,$F65)</f>
        <v>#N/A</v>
      </c>
      <c r="V65">
        <f t="shared" ref="V65:V67" si="9">$H65</f>
        <v>0</v>
      </c>
      <c r="W65">
        <f t="shared" ref="W65:W67" si="10">$G65</f>
        <v>0</v>
      </c>
      <c r="X65" s="261">
        <f>MAX(_xlfn.IFS($E65='Hidden Lists and Summaries'!$B$146,$T65-$U65,$E65='Hidden Lists and Summaries'!$B$147,$V65*$W65,TRUE,0),0)</f>
        <v>0</v>
      </c>
      <c r="AC65" s="261"/>
    </row>
    <row r="66" spans="1:40" ht="12.75" customHeight="1" x14ac:dyDescent="0.25">
      <c r="A66" s="261"/>
      <c r="B66" s="37"/>
      <c r="C66" s="37" t="s">
        <v>658</v>
      </c>
      <c r="D66" s="37"/>
      <c r="E66" s="1662"/>
      <c r="F66" s="1427"/>
      <c r="G66" s="1669"/>
      <c r="H66" s="1435"/>
      <c r="I66" s="37"/>
      <c r="J66" s="37"/>
      <c r="K66" s="37"/>
      <c r="L66" s="37"/>
      <c r="M66" s="37"/>
      <c r="N66" s="37"/>
      <c r="O66" s="37"/>
      <c r="P66" s="37"/>
      <c r="Q66" s="38"/>
      <c r="T66" s="263">
        <f t="shared" si="8"/>
        <v>0</v>
      </c>
      <c r="U66" t="e" cm="1">
        <f t="array" ref="U66">_xlfn.IFS($E66='Hidden Lists and Summaries'!$B$146,$F66)</f>
        <v>#N/A</v>
      </c>
      <c r="V66">
        <f t="shared" si="9"/>
        <v>0</v>
      </c>
      <c r="W66">
        <f t="shared" si="10"/>
        <v>0</v>
      </c>
      <c r="X66" s="261">
        <f>MAX(_xlfn.IFS($E66='Hidden Lists and Summaries'!$B$146,$T66-$U66,$E66='Hidden Lists and Summaries'!$B$147,$V66*$W66,TRUE,0),0)</f>
        <v>0</v>
      </c>
      <c r="AC66" s="261"/>
    </row>
    <row r="67" spans="1:40" ht="12.75" customHeight="1" x14ac:dyDescent="0.25">
      <c r="A67" s="261"/>
      <c r="B67" s="37"/>
      <c r="C67" s="37" t="s">
        <v>659</v>
      </c>
      <c r="D67" s="37"/>
      <c r="E67" s="1664"/>
      <c r="F67" s="1429"/>
      <c r="G67" s="1670"/>
      <c r="H67" s="1446"/>
      <c r="I67" s="37"/>
      <c r="J67" s="37"/>
      <c r="K67" s="37"/>
      <c r="L67" s="37"/>
      <c r="M67" s="37"/>
      <c r="N67" s="37"/>
      <c r="O67" s="37"/>
      <c r="P67" s="37"/>
      <c r="Q67" s="38"/>
      <c r="T67" s="321">
        <f t="shared" si="8"/>
        <v>0</v>
      </c>
      <c r="U67" s="322" t="e" cm="1">
        <f t="array" ref="U67">_xlfn.IFS($E67='Hidden Lists and Summaries'!$B$146,$F67)</f>
        <v>#N/A</v>
      </c>
      <c r="V67" s="322">
        <f t="shared" si="9"/>
        <v>0</v>
      </c>
      <c r="W67" s="322">
        <f t="shared" si="10"/>
        <v>0</v>
      </c>
      <c r="X67" s="924">
        <f>MAX(_xlfn.IFS($E67='Hidden Lists and Summaries'!$B$146,$T67-$U67,$E67='Hidden Lists and Summaries'!$B$147,$V67*$W67,TRUE,0),0)</f>
        <v>0</v>
      </c>
      <c r="AC67" s="261"/>
    </row>
    <row r="68" spans="1:40" ht="12.75" customHeight="1" x14ac:dyDescent="0.25">
      <c r="A68" s="261"/>
      <c r="B68" s="1375"/>
      <c r="C68" s="1375"/>
      <c r="D68" s="1375"/>
      <c r="E68" s="1375"/>
      <c r="F68" s="1375"/>
      <c r="G68" s="1375"/>
      <c r="H68" s="1375"/>
      <c r="I68" s="1375"/>
      <c r="J68" s="1375"/>
      <c r="K68" s="1375"/>
      <c r="L68" s="1375"/>
      <c r="M68" s="1375"/>
      <c r="N68" s="1375"/>
      <c r="O68" s="1375"/>
      <c r="P68" s="1375"/>
      <c r="Q68" s="40"/>
      <c r="T68" s="263"/>
      <c r="AC68" s="261"/>
    </row>
    <row r="69" spans="1:40" ht="12.75" customHeight="1" x14ac:dyDescent="0.25">
      <c r="T69" s="263"/>
      <c r="AC69" s="261"/>
    </row>
    <row r="70" spans="1:40" ht="12.75" customHeight="1" x14ac:dyDescent="0.25">
      <c r="B70" s="1081"/>
      <c r="C70" s="1082"/>
      <c r="D70" s="1082"/>
      <c r="E70" s="1082"/>
      <c r="F70" s="1082"/>
      <c r="G70" s="1082"/>
      <c r="H70" s="1082"/>
      <c r="I70" s="1082"/>
      <c r="J70" s="1082"/>
      <c r="K70" s="1082"/>
      <c r="L70" s="1082"/>
      <c r="M70" s="1082"/>
      <c r="N70" s="1082"/>
      <c r="O70" s="1082"/>
      <c r="P70" s="1082"/>
      <c r="Q70" s="1083"/>
      <c r="T70" s="263"/>
      <c r="AC70" s="261"/>
    </row>
    <row r="71" spans="1:40" ht="12.75" customHeight="1" x14ac:dyDescent="0.25">
      <c r="B71" s="1084"/>
      <c r="C71" s="1109" t="s">
        <v>1364</v>
      </c>
      <c r="D71" s="1086"/>
      <c r="E71" s="1086"/>
      <c r="F71" s="1086"/>
      <c r="G71" s="1086"/>
      <c r="H71" s="1086"/>
      <c r="I71" s="1086"/>
      <c r="J71" s="1086"/>
      <c r="K71" s="1086"/>
      <c r="L71" s="1086"/>
      <c r="M71" s="1086"/>
      <c r="N71" s="1086"/>
      <c r="O71" s="1086"/>
      <c r="P71" s="1086"/>
      <c r="Q71" s="1087"/>
      <c r="T71" s="263"/>
      <c r="AC71" s="261"/>
    </row>
    <row r="72" spans="1:40" ht="12.75" customHeight="1" x14ac:dyDescent="0.25">
      <c r="B72" s="1089"/>
      <c r="C72" s="1090"/>
      <c r="D72" s="1090"/>
      <c r="E72" s="1091" t="s">
        <v>704</v>
      </c>
      <c r="F72" s="1091" t="s">
        <v>705</v>
      </c>
      <c r="G72" s="1111" t="s">
        <v>713</v>
      </c>
      <c r="H72" s="1091" t="s">
        <v>707</v>
      </c>
      <c r="I72" s="1090"/>
      <c r="J72" s="1090"/>
      <c r="K72" s="1090"/>
      <c r="L72" s="1090"/>
      <c r="M72" s="1090"/>
      <c r="N72" s="1090"/>
      <c r="O72" s="1377"/>
      <c r="P72" s="1377"/>
      <c r="Q72" s="1094"/>
      <c r="T72" s="263"/>
      <c r="AC72" s="261"/>
    </row>
    <row r="73" spans="1:40" ht="12.75" customHeight="1" x14ac:dyDescent="0.25">
      <c r="A73" s="261"/>
      <c r="B73" s="1096"/>
      <c r="C73" s="1096"/>
      <c r="D73" s="1096"/>
      <c r="E73" s="1096"/>
      <c r="F73" s="1096"/>
      <c r="G73" s="1096"/>
      <c r="H73" s="1096"/>
      <c r="I73" s="1096"/>
      <c r="J73" s="1096"/>
      <c r="K73" s="1096"/>
      <c r="L73" s="1096"/>
      <c r="M73" s="1096"/>
      <c r="N73" s="1096"/>
      <c r="O73" s="1096"/>
      <c r="P73" s="1096"/>
      <c r="Q73" s="1195"/>
      <c r="T73" s="1299" t="s">
        <v>708</v>
      </c>
      <c r="U73" s="1299" t="s">
        <v>709</v>
      </c>
      <c r="V73" s="1299" t="s">
        <v>714</v>
      </c>
      <c r="W73" s="1299" t="s">
        <v>715</v>
      </c>
      <c r="X73" s="1360" t="s">
        <v>706</v>
      </c>
      <c r="Y73" s="1299" t="s">
        <v>711</v>
      </c>
      <c r="AC73" s="261"/>
    </row>
    <row r="74" spans="1:40" ht="12.75" customHeight="1" x14ac:dyDescent="0.25">
      <c r="A74" s="261"/>
      <c r="B74" s="37"/>
      <c r="C74" s="37" t="s">
        <v>697</v>
      </c>
      <c r="D74" s="37"/>
      <c r="E74" s="1659"/>
      <c r="F74" s="1431"/>
      <c r="G74" s="1667"/>
      <c r="H74" s="1671"/>
      <c r="I74" s="37"/>
      <c r="J74" s="37"/>
      <c r="K74" s="37"/>
      <c r="L74" s="37"/>
      <c r="M74" s="37"/>
      <c r="N74" s="37"/>
      <c r="O74" s="37"/>
      <c r="P74" s="37"/>
      <c r="Q74" s="38"/>
      <c r="T74" s="1381">
        <f>U56-V56</f>
        <v>0</v>
      </c>
      <c r="U74" s="790" t="e" cm="1">
        <f t="array" ref="U74">_xlfn.IFS($E74='Hidden Lists and Summaries'!$B$146,$F74)</f>
        <v>#N/A</v>
      </c>
      <c r="V74" s="790">
        <f>$H74</f>
        <v>0</v>
      </c>
      <c r="W74" s="790">
        <f>$G74</f>
        <v>0</v>
      </c>
      <c r="X74" s="790">
        <f>iq_batchDurationYears*$W74</f>
        <v>0</v>
      </c>
      <c r="Y74" s="923">
        <f>MAX(_xlfn.IFS($E74='Hidden Lists and Summaries'!$B$146,$T74-$U74,$E74='Hidden Lists and Summaries'!$B$147,$V74*$X74,TRUE,0),0)</f>
        <v>0</v>
      </c>
      <c r="AC74" s="261"/>
    </row>
    <row r="75" spans="1:40" ht="12.75" customHeight="1" x14ac:dyDescent="0.25">
      <c r="A75" s="261"/>
      <c r="B75" s="37"/>
      <c r="C75" s="37" t="s">
        <v>698</v>
      </c>
      <c r="D75" s="37"/>
      <c r="E75" s="1672"/>
      <c r="F75" s="1449"/>
      <c r="G75" s="1673"/>
      <c r="H75" s="1674"/>
      <c r="I75" s="37"/>
      <c r="J75" s="37"/>
      <c r="K75" s="37"/>
      <c r="L75" s="37"/>
      <c r="M75" s="37"/>
      <c r="N75" s="37"/>
      <c r="O75" s="37"/>
      <c r="P75" s="37"/>
      <c r="Q75" s="38"/>
      <c r="T75" s="1387">
        <f>U57-V57</f>
        <v>0</v>
      </c>
      <c r="U75" s="322" t="e" cm="1">
        <f t="array" ref="U75">_xlfn.IFS($E75='Hidden Lists and Summaries'!$B$146,$F75)</f>
        <v>#N/A</v>
      </c>
      <c r="V75" s="322">
        <f t="shared" ref="V75" si="11">$H75</f>
        <v>0</v>
      </c>
      <c r="W75" s="322">
        <f t="shared" ref="W75" si="12">$G75</f>
        <v>0</v>
      </c>
      <c r="X75" s="322">
        <f>iq_batchDurationYears*$W75</f>
        <v>0</v>
      </c>
      <c r="Y75" s="924">
        <f>MAX(_xlfn.IFS($E75='Hidden Lists and Summaries'!$B$146,$T75-$U75,$E75='Hidden Lists and Summaries'!$B$147,$V75*$X75,TRUE,0),0)</f>
        <v>0</v>
      </c>
      <c r="AC75" s="261"/>
    </row>
    <row r="76" spans="1:40" ht="12.75" customHeight="1" x14ac:dyDescent="0.25">
      <c r="A76" s="261"/>
      <c r="B76" s="1375"/>
      <c r="C76" s="1375"/>
      <c r="D76" s="1375"/>
      <c r="E76" s="1375"/>
      <c r="F76" s="1375"/>
      <c r="G76" s="1375"/>
      <c r="H76" s="1375"/>
      <c r="I76" s="1375"/>
      <c r="J76" s="1375"/>
      <c r="K76" s="1375"/>
      <c r="L76" s="1375"/>
      <c r="M76" s="1375"/>
      <c r="N76" s="1375"/>
      <c r="O76" s="1375"/>
      <c r="P76" s="1375"/>
      <c r="Q76" s="40"/>
      <c r="T76" s="263"/>
      <c r="AC76" s="261"/>
    </row>
    <row r="77" spans="1:40" ht="12.75" customHeight="1" x14ac:dyDescent="0.25">
      <c r="T77" s="263"/>
      <c r="AC77" s="261"/>
    </row>
    <row r="78" spans="1:40" s="1069" customFormat="1" ht="15.65" customHeight="1" x14ac:dyDescent="0.25">
      <c r="B78" s="1081"/>
      <c r="C78" s="1082"/>
      <c r="D78" s="1082"/>
      <c r="E78" s="1082"/>
      <c r="F78" s="1082"/>
      <c r="G78" s="1082"/>
      <c r="H78" s="1082"/>
      <c r="I78" s="1082"/>
      <c r="J78" s="1082"/>
      <c r="K78" s="1082"/>
      <c r="L78" s="1082"/>
      <c r="M78" s="1082"/>
      <c r="N78" s="1082"/>
      <c r="O78" s="1082"/>
      <c r="P78" s="1082"/>
      <c r="Q78" s="1083"/>
      <c r="T78" s="1088"/>
      <c r="U78" s="1079"/>
      <c r="V78" s="1079"/>
      <c r="W78" s="1079"/>
      <c r="X78" s="1079"/>
      <c r="Y78" s="1079"/>
      <c r="Z78" s="1079"/>
      <c r="AA78" s="1079"/>
      <c r="AB78" s="1079"/>
      <c r="AC78" s="1080"/>
      <c r="AD78" s="1079"/>
      <c r="AE78" s="1079"/>
      <c r="AF78" s="1079"/>
      <c r="AG78"/>
      <c r="AH78"/>
      <c r="AI78"/>
      <c r="AJ78"/>
      <c r="AK78"/>
      <c r="AL78"/>
      <c r="AM78"/>
      <c r="AN78"/>
    </row>
    <row r="79" spans="1:40" s="1069" customFormat="1" ht="15" customHeight="1" x14ac:dyDescent="0.25">
      <c r="B79" s="1084"/>
      <c r="C79" s="1109" t="s">
        <v>1359</v>
      </c>
      <c r="D79" s="1086"/>
      <c r="E79" s="1086"/>
      <c r="F79" s="1086"/>
      <c r="G79" s="1086"/>
      <c r="H79" s="1086"/>
      <c r="I79" s="1086"/>
      <c r="J79" s="1086"/>
      <c r="K79" s="1086"/>
      <c r="L79" s="1086"/>
      <c r="M79" s="1086"/>
      <c r="N79" s="1086"/>
      <c r="O79" s="1086"/>
      <c r="P79" s="1086"/>
      <c r="Q79" s="1087"/>
      <c r="T79" s="1088"/>
      <c r="U79" s="1079"/>
      <c r="V79" s="1079"/>
      <c r="W79" s="1079"/>
      <c r="X79" s="1079"/>
      <c r="Y79" s="1079"/>
      <c r="Z79" s="1079"/>
      <c r="AA79" s="1079"/>
      <c r="AB79" s="1079"/>
      <c r="AC79" s="1080"/>
      <c r="AD79" s="1079"/>
      <c r="AE79" s="1079"/>
      <c r="AF79" s="1079"/>
      <c r="AG79"/>
      <c r="AH79"/>
      <c r="AI79"/>
      <c r="AJ79"/>
      <c r="AK79"/>
      <c r="AL79"/>
      <c r="AM79"/>
      <c r="AN79"/>
    </row>
    <row r="80" spans="1:40" s="1069" customFormat="1" ht="15.65" customHeight="1" x14ac:dyDescent="0.25">
      <c r="B80" s="1089"/>
      <c r="C80" s="1090"/>
      <c r="D80" s="1090"/>
      <c r="E80" s="1091" t="s">
        <v>80</v>
      </c>
      <c r="F80" s="1091" t="s">
        <v>81</v>
      </c>
      <c r="G80" s="1092"/>
      <c r="H80" s="1092"/>
      <c r="I80" s="1092"/>
      <c r="J80" s="1093"/>
      <c r="K80" s="1090"/>
      <c r="L80" s="1090"/>
      <c r="M80" s="1090"/>
      <c r="N80" s="1090"/>
      <c r="O80" s="1091" t="s">
        <v>82</v>
      </c>
      <c r="P80" s="1090"/>
      <c r="Q80" s="1094"/>
      <c r="T80" s="1153" t="s">
        <v>228</v>
      </c>
      <c r="U80" s="1153" t="s">
        <v>229</v>
      </c>
      <c r="V80" s="1154" t="s">
        <v>230</v>
      </c>
      <c r="W80" s="1154" t="s">
        <v>231</v>
      </c>
      <c r="X80" s="1154" t="s">
        <v>232</v>
      </c>
      <c r="Y80" s="1168" t="s">
        <v>233</v>
      </c>
      <c r="Z80" s="1169" t="s">
        <v>234</v>
      </c>
      <c r="AA80" s="1079"/>
      <c r="AB80" s="1079"/>
      <c r="AC80" s="1080"/>
      <c r="AF80" s="1079"/>
      <c r="AG80"/>
      <c r="AH80"/>
      <c r="AI80"/>
      <c r="AJ80"/>
      <c r="AK80"/>
      <c r="AL80"/>
      <c r="AM80"/>
      <c r="AN80"/>
    </row>
    <row r="81" spans="2:40" s="1579" customFormat="1" ht="15.65" customHeight="1" x14ac:dyDescent="0.25">
      <c r="B81" s="1170"/>
      <c r="C81" s="1171"/>
      <c r="D81" s="1171"/>
      <c r="E81" s="1174"/>
      <c r="F81" s="1174"/>
      <c r="G81" s="1571"/>
      <c r="H81" s="1571"/>
      <c r="I81" s="1571"/>
      <c r="J81" s="1174"/>
      <c r="K81" s="1171"/>
      <c r="L81" s="1171"/>
      <c r="M81" s="1171"/>
      <c r="N81" s="1171"/>
      <c r="O81" s="1174"/>
      <c r="P81" s="1171"/>
      <c r="Q81" s="1175"/>
      <c r="T81" s="1580"/>
      <c r="U81" s="1580" t="s">
        <v>84</v>
      </c>
      <c r="V81" s="1627" t="s">
        <v>84</v>
      </c>
      <c r="W81" s="1628"/>
      <c r="X81" s="1628"/>
      <c r="Y81" s="1629"/>
      <c r="Z81" s="1630"/>
      <c r="AA81" s="1584"/>
      <c r="AB81" s="1584"/>
      <c r="AC81" s="1585"/>
      <c r="AF81" s="1584"/>
      <c r="AG81" s="1586"/>
      <c r="AH81" s="1586"/>
      <c r="AI81" s="1586"/>
      <c r="AJ81" s="1586"/>
      <c r="AK81" s="1586"/>
      <c r="AL81" s="1586"/>
      <c r="AM81" s="1586"/>
      <c r="AN81" s="1586"/>
    </row>
    <row r="82" spans="2:40" s="1579" customFormat="1" ht="15.65" customHeight="1" x14ac:dyDescent="0.25">
      <c r="B82" s="1570"/>
      <c r="C82" s="1631" t="s">
        <v>235</v>
      </c>
      <c r="D82" s="1571"/>
      <c r="E82" s="1632"/>
      <c r="F82" s="1633" t="s">
        <v>86</v>
      </c>
      <c r="G82" s="1634"/>
      <c r="H82" s="1572"/>
      <c r="I82" s="1572"/>
      <c r="J82" s="1571"/>
      <c r="K82" s="1571"/>
      <c r="L82" s="1571"/>
      <c r="M82" s="1571"/>
      <c r="N82" s="1571"/>
      <c r="O82" s="1571"/>
      <c r="P82" s="1571"/>
      <c r="Q82" s="1578"/>
      <c r="T82" s="1178" t="s">
        <v>120</v>
      </c>
      <c r="U82" s="1635">
        <f>E82*VLOOKUP(F82,EnergyConversionTable[],3)</f>
        <v>0</v>
      </c>
      <c r="V82" s="1635"/>
      <c r="W82" s="1636"/>
      <c r="X82" s="1637" t="s">
        <v>236</v>
      </c>
      <c r="Y82" s="1638" t="str">
        <f>overall_locationBasedImportEmissions</f>
        <v>Error -  Review inputs</v>
      </c>
      <c r="Z82" s="1639">
        <f>W85</f>
        <v>0</v>
      </c>
      <c r="AA82" s="1584"/>
      <c r="AB82" s="1584"/>
      <c r="AC82" s="1585"/>
      <c r="AF82" s="1584"/>
      <c r="AG82" s="1586"/>
      <c r="AH82" s="1586"/>
      <c r="AI82" s="1586"/>
      <c r="AJ82" s="1586"/>
      <c r="AK82" s="1586"/>
      <c r="AL82" s="1586"/>
      <c r="AM82" s="1586"/>
      <c r="AN82" s="1586"/>
    </row>
    <row r="83" spans="2:40" s="1579" customFormat="1" ht="13" x14ac:dyDescent="0.25">
      <c r="B83" s="1570"/>
      <c r="C83" s="1640" t="s">
        <v>237</v>
      </c>
      <c r="D83" s="1571"/>
      <c r="E83" s="1641"/>
      <c r="F83" s="1642" t="s">
        <v>86</v>
      </c>
      <c r="G83" s="1643" t="str">
        <f>IF('Electricity Usage'!$H$71&gt;1,'Hidden Lists and Summaries'!$D$160,"")</f>
        <v/>
      </c>
      <c r="H83" s="1572"/>
      <c r="I83" s="1572"/>
      <c r="J83" s="1571"/>
      <c r="K83" s="1571"/>
      <c r="L83" s="1571"/>
      <c r="M83" s="1571"/>
      <c r="N83" s="1575" t="s">
        <v>236</v>
      </c>
      <c r="O83" s="1644" t="str">
        <f>IFERROR(Y82*Z82,'Hidden Lists and Summaries'!$C$158)</f>
        <v>Error -  Review inputs</v>
      </c>
      <c r="P83" s="1645" t="s">
        <v>90</v>
      </c>
      <c r="Q83" s="1578"/>
      <c r="T83" s="1185" t="s">
        <v>238</v>
      </c>
      <c r="U83" s="1646">
        <f>E83*VLOOKUP(F83,EnergyConversionTable[],3)</f>
        <v>0</v>
      </c>
      <c r="V83" s="1646"/>
      <c r="W83" s="1647"/>
      <c r="X83" s="1623" t="s">
        <v>239</v>
      </c>
      <c r="Y83" s="1648">
        <f>overall_ImportEmissions</f>
        <v>0</v>
      </c>
      <c r="Z83" s="1585">
        <f>W85</f>
        <v>0</v>
      </c>
      <c r="AA83" s="1584"/>
      <c r="AB83" s="1584"/>
      <c r="AC83" s="1585"/>
      <c r="AF83" s="1584"/>
      <c r="AG83" s="1586"/>
      <c r="AH83" s="1586"/>
      <c r="AI83" s="1586"/>
      <c r="AJ83" s="1586"/>
      <c r="AK83" s="1586"/>
      <c r="AL83" s="1586"/>
      <c r="AM83" s="1586"/>
      <c r="AN83" s="1586"/>
    </row>
    <row r="84" spans="2:40" s="1579" customFormat="1" ht="15.65" customHeight="1" x14ac:dyDescent="0.25">
      <c r="B84" s="1570"/>
      <c r="C84" s="1640"/>
      <c r="D84" s="1649"/>
      <c r="E84" s="1571"/>
      <c r="F84" s="1571"/>
      <c r="G84" s="1643"/>
      <c r="H84" s="1572"/>
      <c r="I84" s="1572"/>
      <c r="J84" s="1572"/>
      <c r="K84" s="1572"/>
      <c r="L84" s="1572"/>
      <c r="M84" s="1571"/>
      <c r="N84" s="1650" t="s">
        <v>239</v>
      </c>
      <c r="O84" s="1591">
        <f>IFERROR(Y83*Z83,'Hidden Lists and Summaries'!$C$158)</f>
        <v>0</v>
      </c>
      <c r="P84" s="1592" t="s">
        <v>90</v>
      </c>
      <c r="Q84" s="1578"/>
      <c r="T84" s="1185"/>
      <c r="U84" s="1646">
        <f>U83</f>
        <v>0</v>
      </c>
      <c r="V84" s="1646">
        <f>overall_onsiteElecGenRenewables+overall_verifiedRenewableElectricityImported</f>
        <v>0</v>
      </c>
      <c r="W84" s="1647">
        <f>IF(V84=0,0,U84/V84)</f>
        <v>0</v>
      </c>
      <c r="X84" s="1623" t="s">
        <v>242</v>
      </c>
      <c r="Y84" s="1648">
        <f>total_embodiedEmissionsCombustionBasedElectricity</f>
        <v>0</v>
      </c>
      <c r="Z84" s="1585">
        <f>W86</f>
        <v>0</v>
      </c>
      <c r="AA84" s="1584"/>
      <c r="AB84" s="1584"/>
      <c r="AC84" s="1585"/>
      <c r="AF84" s="1584"/>
      <c r="AG84" s="1586"/>
      <c r="AH84" s="1586"/>
      <c r="AI84" s="1586"/>
      <c r="AJ84" s="1586"/>
      <c r="AK84" s="1586"/>
      <c r="AL84" s="1586"/>
      <c r="AM84" s="1586"/>
      <c r="AN84" s="1586"/>
    </row>
    <row r="85" spans="2:40" s="1579" customFormat="1" ht="15.65" customHeight="1" x14ac:dyDescent="0.25">
      <c r="B85" s="1570"/>
      <c r="C85" s="1651" t="s">
        <v>244</v>
      </c>
      <c r="D85" s="1652"/>
      <c r="E85" s="1632"/>
      <c r="F85" s="1633" t="s">
        <v>86</v>
      </c>
      <c r="G85" s="1643" t="str">
        <f>IF('Electricity Usage'!$E$71&gt;1,'Hidden Lists and Summaries'!$D$157,"")</f>
        <v/>
      </c>
      <c r="H85" s="1572"/>
      <c r="I85" s="1572"/>
      <c r="J85" s="1571"/>
      <c r="K85" s="1571"/>
      <c r="L85" s="1571"/>
      <c r="M85" s="1571"/>
      <c r="N85" s="106" t="s">
        <v>245</v>
      </c>
      <c r="O85" s="1591">
        <f>IFERROR(Y84*Z84,'Hidden Lists and Summaries'!$C$158)</f>
        <v>0</v>
      </c>
      <c r="P85" s="1592" t="s">
        <v>90</v>
      </c>
      <c r="Q85" s="1578"/>
      <c r="T85" s="1185" t="s">
        <v>246</v>
      </c>
      <c r="U85" s="1646">
        <f>E85*VLOOKUP(F85,EnergyConversionTable[],3)</f>
        <v>0</v>
      </c>
      <c r="V85" s="1646">
        <f>overall_totalImportedElectricity</f>
        <v>0</v>
      </c>
      <c r="W85" s="1647">
        <f>IF(V85=0,0,U85/V85)</f>
        <v>0</v>
      </c>
      <c r="X85" s="1653" t="s">
        <v>247</v>
      </c>
      <c r="Y85" s="1654">
        <f>total_emissionsCombustionBasedElectricity</f>
        <v>0</v>
      </c>
      <c r="Z85" s="1655">
        <f>W86</f>
        <v>0</v>
      </c>
      <c r="AA85" s="1584"/>
      <c r="AB85" s="1584"/>
      <c r="AC85" s="1585"/>
      <c r="AF85" s="1584"/>
      <c r="AG85" s="1586"/>
      <c r="AH85" s="1586"/>
      <c r="AI85" s="1586"/>
      <c r="AJ85" s="1586"/>
      <c r="AK85" s="1586"/>
      <c r="AL85" s="1586"/>
      <c r="AM85" s="1586"/>
      <c r="AN85" s="1586"/>
    </row>
    <row r="86" spans="2:40" s="1579" customFormat="1" ht="15" customHeight="1" x14ac:dyDescent="0.25">
      <c r="B86" s="1570"/>
      <c r="C86" s="1909" t="s">
        <v>249</v>
      </c>
      <c r="D86" s="1571"/>
      <c r="E86" s="1641"/>
      <c r="F86" s="1642" t="s">
        <v>86</v>
      </c>
      <c r="G86" s="1643" t="str">
        <f>IF('Electricity Usage'!$F$71&gt;1,'Hidden Lists and Summaries'!$D$158,"")</f>
        <v/>
      </c>
      <c r="H86" s="1572"/>
      <c r="I86" s="1572"/>
      <c r="J86" s="1571"/>
      <c r="K86" s="1571"/>
      <c r="L86" s="1571"/>
      <c r="M86" s="1571"/>
      <c r="N86" s="106" t="s">
        <v>250</v>
      </c>
      <c r="O86" s="1591">
        <f>IFERROR(Y85*Z85,'Hidden Lists and Summaries'!$C$158)</f>
        <v>0</v>
      </c>
      <c r="P86" s="1592" t="s">
        <v>90</v>
      </c>
      <c r="Q86" s="1578"/>
      <c r="T86" s="1190" t="s">
        <v>251</v>
      </c>
      <c r="U86" s="1656">
        <f>E86*VLOOKUP(F86,EnergyConversionTable[],3)</f>
        <v>0</v>
      </c>
      <c r="V86" s="1656">
        <f>overall_totalOnsiteCombustionElecGen</f>
        <v>0</v>
      </c>
      <c r="W86" s="1657">
        <f>IF(V86=0,0,U86/V86)</f>
        <v>0</v>
      </c>
      <c r="X86" s="1584"/>
      <c r="Y86" s="1584"/>
      <c r="Z86" s="1638"/>
      <c r="AA86" s="1584"/>
      <c r="AB86" s="1584"/>
      <c r="AC86" s="1585"/>
      <c r="AF86" s="1584"/>
      <c r="AG86" s="1586"/>
      <c r="AH86" s="1586"/>
      <c r="AI86" s="1586"/>
      <c r="AJ86" s="1586"/>
      <c r="AK86" s="1586"/>
      <c r="AL86" s="1586"/>
      <c r="AM86" s="1586"/>
      <c r="AN86" s="1586"/>
    </row>
    <row r="87" spans="2:40" s="1579" customFormat="1" ht="15.65" customHeight="1" x14ac:dyDescent="0.25">
      <c r="B87" s="1613"/>
      <c r="C87" s="1910"/>
      <c r="D87" s="1614"/>
      <c r="E87" s="1614"/>
      <c r="F87" s="1614"/>
      <c r="G87" s="1614"/>
      <c r="H87" s="1617"/>
      <c r="I87" s="1617"/>
      <c r="J87" s="1614"/>
      <c r="K87" s="1614"/>
      <c r="L87" s="1614"/>
      <c r="M87" s="1614"/>
      <c r="N87" s="1144" t="s">
        <v>120</v>
      </c>
      <c r="O87" s="1620">
        <f>SUM(O84:O86)</f>
        <v>0</v>
      </c>
      <c r="P87" s="1621" t="s">
        <v>90</v>
      </c>
      <c r="Q87" s="1622"/>
      <c r="T87" s="1637"/>
      <c r="U87" s="1584"/>
      <c r="V87" s="1584"/>
      <c r="W87" s="1584"/>
      <c r="X87" s="1584"/>
      <c r="Y87" s="1584"/>
      <c r="Z87" s="1584"/>
      <c r="AA87" s="1584"/>
      <c r="AB87" s="1584"/>
      <c r="AC87" s="1585"/>
      <c r="AF87" s="1584"/>
      <c r="AG87" s="1586"/>
      <c r="AH87" s="1586"/>
      <c r="AI87" s="1586"/>
      <c r="AJ87" s="1586"/>
      <c r="AK87" s="1586"/>
      <c r="AL87" s="1586"/>
      <c r="AM87" s="1586"/>
      <c r="AN87" s="1586"/>
    </row>
    <row r="88" spans="2:40" ht="12.75" customHeight="1" x14ac:dyDescent="0.25">
      <c r="T88" s="263"/>
      <c r="AC88" s="261"/>
    </row>
    <row r="89" spans="2:40" s="1069" customFormat="1" ht="15.65" customHeight="1" x14ac:dyDescent="0.25">
      <c r="B89" s="1081"/>
      <c r="C89" s="1082"/>
      <c r="D89" s="1082"/>
      <c r="E89" s="1082"/>
      <c r="F89" s="1082"/>
      <c r="G89" s="1082"/>
      <c r="H89" s="1907" t="s">
        <v>287</v>
      </c>
      <c r="I89" s="1907"/>
      <c r="J89" s="1907"/>
      <c r="K89" s="1082"/>
      <c r="L89" s="1082"/>
      <c r="M89" s="1082"/>
      <c r="N89" s="1082"/>
      <c r="O89" s="1082"/>
      <c r="P89" s="1082"/>
      <c r="Q89" s="1083"/>
      <c r="T89" s="1088"/>
      <c r="U89" s="1079"/>
      <c r="V89" s="1079"/>
      <c r="W89" s="1079"/>
      <c r="X89" s="1079"/>
      <c r="Y89" s="1079"/>
      <c r="Z89" s="1079"/>
      <c r="AA89" s="1079"/>
      <c r="AB89" s="1079"/>
      <c r="AC89" s="1080"/>
      <c r="AF89" s="1079"/>
      <c r="AG89"/>
      <c r="AH89"/>
      <c r="AI89"/>
      <c r="AJ89"/>
      <c r="AK89"/>
      <c r="AL89"/>
      <c r="AM89"/>
      <c r="AN89"/>
    </row>
    <row r="90" spans="2:40" s="1069" customFormat="1" ht="15.65" customHeight="1" x14ac:dyDescent="0.25">
      <c r="B90" s="1084"/>
      <c r="C90" s="1198" t="s">
        <v>1360</v>
      </c>
      <c r="D90" s="1151"/>
      <c r="E90" s="1151"/>
      <c r="F90" s="1151"/>
      <c r="G90" s="1151"/>
      <c r="H90" s="1151"/>
      <c r="I90" s="1899" t="s">
        <v>1308</v>
      </c>
      <c r="J90" s="1897" t="s">
        <v>1342</v>
      </c>
      <c r="K90" s="1897" t="s">
        <v>1341</v>
      </c>
      <c r="L90" s="1199"/>
      <c r="M90" s="1151"/>
      <c r="N90" s="1151"/>
      <c r="O90" s="1151"/>
      <c r="P90" s="1151"/>
      <c r="Q90" s="1087"/>
      <c r="T90" s="1191"/>
      <c r="U90" s="1079"/>
      <c r="V90" s="1079"/>
      <c r="W90" s="1079"/>
      <c r="X90" s="1079"/>
      <c r="Y90" s="1079"/>
      <c r="Z90" s="1079"/>
      <c r="AA90" s="1079"/>
      <c r="AB90" s="1079"/>
      <c r="AC90" s="1080"/>
      <c r="AF90" s="1079"/>
      <c r="AG90"/>
      <c r="AH90"/>
      <c r="AI90"/>
      <c r="AJ90"/>
      <c r="AK90"/>
      <c r="AL90"/>
      <c r="AM90"/>
      <c r="AN90"/>
    </row>
    <row r="91" spans="2:40" s="1069" customFormat="1" ht="15.65" customHeight="1" x14ac:dyDescent="0.25">
      <c r="B91" s="1089"/>
      <c r="C91" s="1090"/>
      <c r="D91" s="1090"/>
      <c r="E91" s="1091" t="s">
        <v>112</v>
      </c>
      <c r="F91" s="1091" t="s">
        <v>117</v>
      </c>
      <c r="G91" s="1091" t="s">
        <v>119</v>
      </c>
      <c r="H91" s="1111" t="s">
        <v>184</v>
      </c>
      <c r="I91" s="1900"/>
      <c r="J91" s="1898"/>
      <c r="K91" s="1898"/>
      <c r="L91" s="1201"/>
      <c r="M91" s="1093"/>
      <c r="N91" s="1093"/>
      <c r="O91" s="1091" t="s">
        <v>82</v>
      </c>
      <c r="P91" s="1093"/>
      <c r="Q91" s="1112"/>
      <c r="T91" s="1325" t="s">
        <v>106</v>
      </c>
      <c r="U91" s="1231" t="s">
        <v>107</v>
      </c>
      <c r="V91" s="1232" t="s">
        <v>108</v>
      </c>
      <c r="W91" s="1122" t="s">
        <v>109</v>
      </c>
      <c r="X91" s="1370"/>
      <c r="Y91" s="1079"/>
      <c r="Z91" s="1079"/>
      <c r="AA91" s="1079"/>
      <c r="AB91" s="1079"/>
      <c r="AC91" s="1080"/>
      <c r="AF91" s="1079"/>
      <c r="AG91"/>
      <c r="AH91"/>
      <c r="AI91"/>
      <c r="AJ91"/>
      <c r="AK91"/>
      <c r="AL91"/>
      <c r="AM91"/>
      <c r="AN91"/>
    </row>
    <row r="92" spans="2:40" s="1579" customFormat="1" ht="15.65" customHeight="1" x14ac:dyDescent="0.25">
      <c r="B92" s="1570"/>
      <c r="C92" s="1571"/>
      <c r="D92" s="1571"/>
      <c r="E92" s="1571"/>
      <c r="F92" s="1571"/>
      <c r="G92" s="1571"/>
      <c r="H92" s="1572"/>
      <c r="I92" s="1573"/>
      <c r="J92" s="1574"/>
      <c r="K92" s="1571"/>
      <c r="L92" s="1571"/>
      <c r="M92" s="1575"/>
      <c r="N92" s="1576" t="s">
        <v>209</v>
      </c>
      <c r="O92" s="1576" t="s">
        <v>258</v>
      </c>
      <c r="P92" s="1577"/>
      <c r="Q92" s="1578"/>
      <c r="T92" s="1580" t="s">
        <v>113</v>
      </c>
      <c r="U92" s="1581" t="s">
        <v>114</v>
      </c>
      <c r="V92" s="1580" t="s">
        <v>113</v>
      </c>
      <c r="W92" s="1582" t="s">
        <v>115</v>
      </c>
      <c r="X92" s="1583"/>
      <c r="Y92" s="1584"/>
      <c r="Z92" s="1584"/>
      <c r="AA92" s="1584"/>
      <c r="AB92" s="1584"/>
      <c r="AC92" s="1585"/>
      <c r="AF92" s="1584"/>
      <c r="AG92" s="1586"/>
      <c r="AH92" s="1586"/>
      <c r="AI92" s="1586"/>
      <c r="AJ92" s="1586"/>
      <c r="AK92" s="1586"/>
      <c r="AL92" s="1586"/>
      <c r="AM92" s="1586"/>
      <c r="AN92" s="1586"/>
    </row>
    <row r="93" spans="2:40" s="1579" customFormat="1" ht="15.65" customHeight="1" x14ac:dyDescent="0.25">
      <c r="B93" s="1570"/>
      <c r="C93" s="1572" t="s">
        <v>291</v>
      </c>
      <c r="D93" s="1571"/>
      <c r="E93" s="1587"/>
      <c r="F93" s="1588"/>
      <c r="G93" s="1589"/>
      <c r="H93" s="427"/>
      <c r="I93" s="954"/>
      <c r="J93" s="955"/>
      <c r="K93" s="956"/>
      <c r="L93" s="1590"/>
      <c r="M93" s="1591"/>
      <c r="N93" s="1591">
        <f>IF(AND(E93="",F93="",G93="",H93="",I93="",J93="",K93=""),0,IFERROR(U93*V93*W93,'Hidden Lists and Summaries'!$C$158))</f>
        <v>0</v>
      </c>
      <c r="O93" s="1591">
        <f>IF(AND(E93="",F93="",G93="",H93="",I93="",J93="",K93=""),0,IFERROR(T93*U93*W93,'Hidden Lists and Summaries'!$C$158))</f>
        <v>0</v>
      </c>
      <c r="P93" s="1592" t="s">
        <v>90</v>
      </c>
      <c r="Q93" s="1578"/>
      <c r="T93" s="1593" t="str">
        <f>IF(I93&lt;&gt;"",I93,
IF(E93="Solid Fuel",VLOOKUP(F93,'Key Values'!$B$40:$G$58,6,FALSE),
IF(E93="Gaseous Fuel", VLOOKUP(F93,'Key Values'!$B$71:$G$88,6,FALSE),
IF(E93="Liquid Fuel", VLOOKUP(F93,'Key Values'!$B$100:$H$120,7,FALSE),
'Hidden Lists and Summaries'!$C$157))))</f>
        <v>No default, please enter a bespoke value</v>
      </c>
      <c r="U93" s="1594" t="e">
        <f>IF(J93&lt;&gt;"",J93,IF(E93="Solid Fuel",VLOOKUP(F93,'Key Values'!$B$40:$G$58,2,FALSE),
IF(E93="Gaseous Fuel",VLOOKUP(F93,'Key Values'!$B$71:$G$88,2,FALSE),
VLOOKUP(F93,'Key Values'!$B$100:$H$120,2,FALSE))))</f>
        <v>#N/A</v>
      </c>
      <c r="V93" s="1595" t="e" cm="1">
        <f t="array" ref="V93">_xlfn.IFS(K93&lt;&gt;"",K93,E93="Solid Fuel", VLOOKUP(F93,'Key Values'!$B$61:$C$68,2,FALSE),
E93="Liquid fuel",VLOOKUP(F93,'Key Values'!$B$123:$C$143,2,FALSE),
E93="Gaseous Fuel", IF(VLOOKUP(F93,GasFuel[#All],7,FALSE)=TRUE,IF(F93='Key Values'!$B$77,'Hidden Lists and Summaries'!$C$157,VLOOKUP(iq_location,GaseousFuelEmbodiedEmissions[#All],IF(iq_metro="Yes",2,3),FALSE)),'Hidden Lists and Summaries'!$C$157))</f>
        <v>#N/A</v>
      </c>
      <c r="W93" s="1596" t="e" cm="1">
        <f t="array" ref="W93">_xlfn.IFS('Key Values'!$B$35=E93, VLOOKUP(H93,massConv[#All], 2, FALSE),
'Key Values'!$B$36=E93, IF(VLOOKUP(F93,'Key Values'!$B$101:$H$121,3,FALSE)="GJ/t", VLOOKUP(H93,massConv[#All], 2, FALSE), VLOOKUP(H93,volConv[#All], 2, FALSE)),
'Key Values'!$B$37=E93, VLOOKUP(H93,volConv[#All], 2, FALSE)) * G93</f>
        <v>#N/A</v>
      </c>
      <c r="X93" s="101"/>
      <c r="Y93" s="1584"/>
      <c r="Z93" s="1584"/>
      <c r="AA93" s="1584"/>
      <c r="AB93" s="1584"/>
      <c r="AC93" s="1585"/>
      <c r="AF93" s="1584"/>
      <c r="AG93" s="1586"/>
      <c r="AH93" s="1586"/>
      <c r="AI93" s="1586"/>
      <c r="AJ93" s="1586"/>
      <c r="AK93" s="1586"/>
      <c r="AL93" s="1586"/>
      <c r="AM93" s="1586"/>
      <c r="AN93" s="1586"/>
    </row>
    <row r="94" spans="2:40" s="1579" customFormat="1" ht="15.65" customHeight="1" x14ac:dyDescent="0.25">
      <c r="B94" s="1570"/>
      <c r="C94" s="1572" t="s">
        <v>292</v>
      </c>
      <c r="D94" s="1571"/>
      <c r="E94" s="1597"/>
      <c r="F94" s="1598"/>
      <c r="G94" s="1599"/>
      <c r="H94" s="380"/>
      <c r="I94" s="957"/>
      <c r="J94" s="958"/>
      <c r="K94" s="959"/>
      <c r="L94" s="1590"/>
      <c r="M94" s="1591"/>
      <c r="N94" s="1591">
        <f>IF(AND(E94="",F94="",G94="",H94="",I94="",J94="",K94=""),0,IFERROR(U94*V94*W94,'Hidden Lists and Summaries'!$C$158))</f>
        <v>0</v>
      </c>
      <c r="O94" s="1591">
        <f>IF(AND(E94="",F94="",G94="",H94="",I94="",J94="",K94=""),0,IFERROR(T94*U94*W94,'Hidden Lists and Summaries'!$C$158))</f>
        <v>0</v>
      </c>
      <c r="P94" s="1592" t="s">
        <v>90</v>
      </c>
      <c r="Q94" s="1578"/>
      <c r="T94" s="1600" t="str">
        <f>IF(I94&lt;&gt;"",I94,
IF(E94="Solid Fuel",VLOOKUP(F94,'Key Values'!$B$40:$G$58,6,FALSE),
IF(E94="Gaseous Fuel", VLOOKUP(F94,'Key Values'!$B$71:$G$88,6,FALSE),
IF(E94="Liquid Fuel", VLOOKUP(F94,'Key Values'!$B$100:$H$120,7,FALSE),
'Hidden Lists and Summaries'!$C$157))))</f>
        <v>No default, please enter a bespoke value</v>
      </c>
      <c r="U94" s="1584" t="e">
        <f>IF(J94&lt;&gt;"",J94,IF(E94="Solid Fuel",VLOOKUP(F94,'Key Values'!$B$40:$G$58,2,FALSE),
IF(E94="Gaseous Fuel",VLOOKUP(F94,'Key Values'!$B$71:$G$88,2,FALSE),
VLOOKUP(F94,'Key Values'!$B$100:$H$120,2,FALSE))))</f>
        <v>#N/A</v>
      </c>
      <c r="V94" s="1601" t="e" cm="1">
        <f t="array" ref="V94">_xlfn.IFS(K94&lt;&gt;"",K94,E94="Solid Fuel", VLOOKUP(F94,'Key Values'!$B$61:$C$68,2,FALSE),
E94="Liquid fuel",VLOOKUP(F94,'Key Values'!$B$123:$C$143,2,FALSE),
E94="Gaseous Fuel", IF(VLOOKUP(F94,GasFuel[#All],7,FALSE)=TRUE,IF(F94='Key Values'!$B$77,'Hidden Lists and Summaries'!$C$157,VLOOKUP(iq_location,GaseousFuelEmbodiedEmissions[#All],IF(iq_metro="Yes",2,3),FALSE)),'Hidden Lists and Summaries'!$C$157))</f>
        <v>#N/A</v>
      </c>
      <c r="W94" s="1602" t="e" cm="1">
        <f t="array" ref="W94">_xlfn.IFS('Key Values'!$B$35=E94, VLOOKUP(H94,massConv[#All], 2, FALSE),
'Key Values'!$B$36=E94, IF(VLOOKUP(F94,'Key Values'!$B$101:$H$121,3,FALSE)="GJ/t", VLOOKUP(H94,massConv[#All], 2, FALSE), VLOOKUP(H94,volConv[#All], 2, FALSE)),
'Key Values'!$B$37=E94, VLOOKUP(H94,volConv[#All], 2, FALSE)) * G94</f>
        <v>#N/A</v>
      </c>
      <c r="X94" s="1584"/>
      <c r="Y94" s="1584"/>
      <c r="Z94" s="1584"/>
      <c r="AA94" s="1584"/>
      <c r="AB94" s="1584"/>
      <c r="AC94" s="1585"/>
      <c r="AF94" s="1584"/>
      <c r="AG94" s="1586"/>
      <c r="AH94" s="1586"/>
      <c r="AI94" s="1586"/>
      <c r="AJ94" s="1586"/>
      <c r="AK94" s="1586"/>
      <c r="AL94" s="1586"/>
      <c r="AM94" s="1586"/>
      <c r="AN94" s="1586"/>
    </row>
    <row r="95" spans="2:40" s="1579" customFormat="1" ht="15.65" customHeight="1" x14ac:dyDescent="0.25">
      <c r="B95" s="1570"/>
      <c r="C95" s="1572" t="s">
        <v>293</v>
      </c>
      <c r="D95" s="1571"/>
      <c r="E95" s="413"/>
      <c r="F95" s="1603"/>
      <c r="G95" s="1604"/>
      <c r="H95" s="380"/>
      <c r="I95" s="1561"/>
      <c r="J95" s="1563"/>
      <c r="K95" s="959"/>
      <c r="L95" s="1590"/>
      <c r="M95" s="1591"/>
      <c r="N95" s="1591">
        <f>IF(AND(E95="",F95="",G95="",H95="",I95="",J95="",K95=""),0,IFERROR(U95*V95*W95,'Hidden Lists and Summaries'!$C$158))</f>
        <v>0</v>
      </c>
      <c r="O95" s="1591">
        <f>IF(AND(E95="",F95="",G95="",H95="",I95="",J95="",K95=""),0,IFERROR(T95*U95*W95,'Hidden Lists and Summaries'!$C$158))</f>
        <v>0</v>
      </c>
      <c r="P95" s="1592" t="s">
        <v>90</v>
      </c>
      <c r="Q95" s="1578"/>
      <c r="T95" s="1600" t="str">
        <f>IF(I95&lt;&gt;"",I95,
IF(E95="Solid Fuel",VLOOKUP(F95,'Key Values'!$B$40:$G$58,6,FALSE),
IF(E95="Gaseous Fuel", VLOOKUP(F95,'Key Values'!$B$71:$G$88,6,FALSE),
IF(E95="Liquid Fuel", VLOOKUP(F95,'Key Values'!$B$100:$H$120,7,FALSE),
'Hidden Lists and Summaries'!$C$157))))</f>
        <v>No default, please enter a bespoke value</v>
      </c>
      <c r="U95" s="1584" t="e">
        <f>IF(J95&lt;&gt;"",J95,IF(E95="Solid Fuel",VLOOKUP(F95,'Key Values'!$B$40:$G$58,2,FALSE),
IF(E95="Gaseous Fuel",VLOOKUP(F95,'Key Values'!$B$71:$G$88,2,FALSE),
VLOOKUP(F95,'Key Values'!$B$100:$H$120,2,FALSE))))</f>
        <v>#N/A</v>
      </c>
      <c r="V95" s="1601" t="e" cm="1">
        <f t="array" ref="V95">_xlfn.IFS(K95&lt;&gt;"",K95,E95="Solid Fuel", VLOOKUP(F95,'Key Values'!$B$61:$C$68,2,FALSE),
E95="Liquid fuel",VLOOKUP(F95,'Key Values'!$B$123:$C$143,2,FALSE),
E95="Gaseous Fuel", IF(VLOOKUP(F95,GasFuel[#All],7,FALSE)=TRUE,IF(F95='Key Values'!$B$77,'Hidden Lists and Summaries'!$C$157,VLOOKUP(iq_location,GaseousFuelEmbodiedEmissions[#All],IF(iq_metro="Yes",2,3),FALSE)),'Hidden Lists and Summaries'!$C$157))</f>
        <v>#N/A</v>
      </c>
      <c r="W95" s="1602" t="e" cm="1">
        <f t="array" ref="W95">_xlfn.IFS('Key Values'!$B$35=E95, VLOOKUP(H95,massConv[#All], 2, FALSE),
'Key Values'!$B$36=E95, IF(VLOOKUP(F95,'Key Values'!$B$101:$H$121,3,FALSE)="GJ/t", VLOOKUP(H95,massConv[#All], 2, FALSE), VLOOKUP(H95,volConv[#All], 2, FALSE)),
'Key Values'!$B$37=E95, VLOOKUP(H95,volConv[#All], 2, FALSE)) * G95</f>
        <v>#N/A</v>
      </c>
      <c r="X95" s="1584"/>
      <c r="Y95" s="1584"/>
      <c r="Z95" s="1584"/>
      <c r="AA95" s="1584"/>
      <c r="AB95" s="1584"/>
      <c r="AC95" s="1585"/>
      <c r="AF95" s="1584"/>
      <c r="AG95" s="1586"/>
      <c r="AH95" s="1586"/>
      <c r="AI95" s="1586"/>
      <c r="AJ95" s="1586"/>
      <c r="AK95" s="1586"/>
      <c r="AL95" s="1586"/>
      <c r="AM95" s="1586"/>
      <c r="AN95" s="1586"/>
    </row>
    <row r="96" spans="2:40" s="1579" customFormat="1" ht="15" customHeight="1" x14ac:dyDescent="0.25">
      <c r="B96" s="1570"/>
      <c r="C96" s="1572" t="s">
        <v>294</v>
      </c>
      <c r="D96" s="1571"/>
      <c r="E96" s="413"/>
      <c r="F96" s="1603"/>
      <c r="G96" s="1605"/>
      <c r="H96" s="380"/>
      <c r="I96" s="1560"/>
      <c r="J96" s="1562"/>
      <c r="K96" s="1564"/>
      <c r="L96" s="1590"/>
      <c r="M96" s="1591"/>
      <c r="N96" s="1591">
        <f>IF(AND(E96="",F96="",G96="",H96="",I96="",J96="",K96=""),0,IFERROR(U96*V96*W96,'Hidden Lists and Summaries'!$C$158))</f>
        <v>0</v>
      </c>
      <c r="O96" s="1591">
        <f>IF(AND(E96="",F96="",G96="",H96="",I96="",J96="",K96=""),0,IFERROR(T96*U96*W96,'Hidden Lists and Summaries'!$C$158))</f>
        <v>0</v>
      </c>
      <c r="P96" s="1592" t="s">
        <v>90</v>
      </c>
      <c r="Q96" s="1578"/>
      <c r="T96" s="1600" t="str">
        <f>IF(I96&lt;&gt;"",I96,
IF(E96="Solid Fuel",VLOOKUP(F96,'Key Values'!$B$40:$G$58,6,FALSE),
IF(E96="Gaseous Fuel", VLOOKUP(F96,'Key Values'!$B$71:$G$88,6,FALSE),
IF(E96="Liquid Fuel", VLOOKUP(F96,'Key Values'!$B$100:$H$120,7,FALSE),
'Hidden Lists and Summaries'!$C$157))))</f>
        <v>No default, please enter a bespoke value</v>
      </c>
      <c r="U96" s="1584" t="e">
        <f>IF(J96&lt;&gt;"",J96,IF(E96="Solid Fuel",VLOOKUP(F96,'Key Values'!$B$40:$G$58,2,FALSE),
IF(E96="Gaseous Fuel",VLOOKUP(F96,'Key Values'!$B$71:$G$88,2,FALSE),
VLOOKUP(F96,'Key Values'!$B$100:$H$120,2,FALSE))))</f>
        <v>#N/A</v>
      </c>
      <c r="V96" s="1601" t="e" cm="1">
        <f t="array" ref="V96">_xlfn.IFS(K96&lt;&gt;"",K96,E96="Solid Fuel", VLOOKUP(F96,'Key Values'!$B$61:$C$68,2,FALSE),
E96="Liquid fuel",VLOOKUP(F96,'Key Values'!$B$123:$C$143,2,FALSE),
E96="Gaseous Fuel", IF(VLOOKUP(F96,GasFuel[#All],7,FALSE)=TRUE,IF(F96='Key Values'!$B$77,'Hidden Lists and Summaries'!$C$157,VLOOKUP(iq_location,GaseousFuelEmbodiedEmissions[#All],IF(iq_metro="Yes",2,3),FALSE)),'Hidden Lists and Summaries'!$C$157))</f>
        <v>#N/A</v>
      </c>
      <c r="W96" s="1602" t="e" cm="1">
        <f t="array" ref="W96">_xlfn.IFS('Key Values'!$B$35=E96, VLOOKUP(H96,massConv[#All], 2, FALSE),
'Key Values'!$B$36=E96, IF(VLOOKUP(F96,'Key Values'!$B$101:$H$121,3,FALSE)="GJ/t", VLOOKUP(H96,massConv[#All], 2, FALSE), VLOOKUP(H96,volConv[#All], 2, FALSE)),
'Key Values'!$B$37=E96, VLOOKUP(H96,volConv[#All], 2, FALSE)) * G96</f>
        <v>#N/A</v>
      </c>
      <c r="X96" s="1584"/>
      <c r="Y96" s="1584"/>
      <c r="Z96" s="1584"/>
      <c r="AA96" s="1584"/>
      <c r="AB96" s="1584"/>
      <c r="AC96" s="1585"/>
      <c r="AF96" s="1584"/>
      <c r="AG96" s="1586"/>
      <c r="AH96" s="1586"/>
      <c r="AI96" s="1586"/>
      <c r="AJ96" s="1586"/>
      <c r="AK96" s="1586"/>
      <c r="AL96" s="1586"/>
      <c r="AM96" s="1586"/>
      <c r="AN96" s="1586"/>
    </row>
    <row r="97" spans="2:40" s="1579" customFormat="1" ht="15" customHeight="1" x14ac:dyDescent="0.25">
      <c r="B97" s="1570"/>
      <c r="C97" s="1572" t="s">
        <v>295</v>
      </c>
      <c r="D97" s="1571"/>
      <c r="E97" s="1606"/>
      <c r="F97" s="1607"/>
      <c r="G97" s="1608"/>
      <c r="H97" s="396"/>
      <c r="I97" s="957"/>
      <c r="J97" s="1565"/>
      <c r="K97" s="959"/>
      <c r="L97" s="1590"/>
      <c r="M97" s="1591"/>
      <c r="N97" s="1591">
        <f>IF(AND(E97="",F97="",G97="",H97="",I97="",J97="",K97=""),0,IFERROR(U97*V97*W97,'Hidden Lists and Summaries'!$C$158))</f>
        <v>0</v>
      </c>
      <c r="O97" s="1591">
        <f>IF(AND(E97="",F97="",G97="",H97="",I97="",J97="",K97=""),0,IFERROR(T97*U97*W97,'Hidden Lists and Summaries'!$C$158))</f>
        <v>0</v>
      </c>
      <c r="P97" s="1592" t="s">
        <v>90</v>
      </c>
      <c r="Q97" s="1578"/>
      <c r="T97" s="1609" t="str">
        <f>IF(I97&lt;&gt;"",I97,
IF(E97="Solid Fuel",VLOOKUP(F97,'Key Values'!$B$40:$G$58,6,FALSE),
IF(E97="Gaseous Fuel", VLOOKUP(F97,'Key Values'!$B$71:$G$88,6,FALSE),
IF(E97="Liquid Fuel", VLOOKUP(F97,'Key Values'!$B$100:$H$120,7,FALSE),
'Hidden Lists and Summaries'!$C$157))))</f>
        <v>No default, please enter a bespoke value</v>
      </c>
      <c r="U97" s="1610" t="e">
        <f>IF(J97&lt;&gt;"",J97,IF(E97="Solid Fuel",VLOOKUP(F97,'Key Values'!$B$40:$G$58,2,FALSE),
IF(E97="Gaseous Fuel",VLOOKUP(F97,'Key Values'!$B$71:$G$88,2,FALSE),
VLOOKUP(F97,'Key Values'!$B$100:$H$120,2,FALSE))))</f>
        <v>#N/A</v>
      </c>
      <c r="V97" s="1611" t="e" cm="1">
        <f t="array" ref="V97">_xlfn.IFS(K97&lt;&gt;"",K97,E97="Solid Fuel", VLOOKUP(F97,'Key Values'!$B$61:$C$68,2,FALSE),
E97="Liquid fuel",VLOOKUP(F97,'Key Values'!$B$123:$C$143,2,FALSE),
E97="Gaseous Fuel", IF(VLOOKUP(F97,GasFuel[#All],7,FALSE)=TRUE,IF(F97='Key Values'!$B$77,'Hidden Lists and Summaries'!$C$157,VLOOKUP(iq_location,GaseousFuelEmbodiedEmissions[#All],IF(iq_metro="Yes",2,3),FALSE)),'Hidden Lists and Summaries'!$C$157))</f>
        <v>#N/A</v>
      </c>
      <c r="W97" s="1612" t="e" cm="1">
        <f t="array" ref="W97">_xlfn.IFS('Key Values'!$B$35=E97, VLOOKUP(H97,massConv[#All], 2, FALSE),
'Key Values'!$B$36=E97, IF(VLOOKUP(F97,'Key Values'!$B$101:$H$121,3,FALSE)="GJ/t", VLOOKUP(H97,massConv[#All], 2, FALSE), VLOOKUP(H97,volConv[#All], 2, FALSE)),
'Key Values'!$B$37=E97, VLOOKUP(H97,volConv[#All], 2, FALSE)) * G97</f>
        <v>#N/A</v>
      </c>
      <c r="X97" s="1584"/>
      <c r="Y97" s="1584"/>
      <c r="Z97" s="1584"/>
      <c r="AA97" s="1584"/>
      <c r="AB97" s="1584"/>
      <c r="AC97" s="1585"/>
      <c r="AF97" s="1584"/>
      <c r="AG97" s="1586"/>
      <c r="AH97" s="1586"/>
      <c r="AI97" s="1586"/>
      <c r="AJ97" s="1586"/>
      <c r="AK97" s="1586"/>
      <c r="AL97" s="1586"/>
      <c r="AM97" s="1586"/>
      <c r="AN97" s="1586"/>
    </row>
    <row r="98" spans="2:40" s="1579" customFormat="1" ht="15.65" customHeight="1" x14ac:dyDescent="0.25">
      <c r="B98" s="1613"/>
      <c r="C98" s="1614"/>
      <c r="D98" s="1614"/>
      <c r="E98" s="1614"/>
      <c r="F98" s="1615"/>
      <c r="G98" s="1616"/>
      <c r="H98" s="1617"/>
      <c r="I98" s="1618"/>
      <c r="J98" s="1614"/>
      <c r="K98" s="1619"/>
      <c r="L98" s="1614"/>
      <c r="M98" s="1144" t="s">
        <v>120</v>
      </c>
      <c r="N98" s="1242">
        <f>SUM(N93:N97)</f>
        <v>0</v>
      </c>
      <c r="O98" s="1620">
        <f>SUM(O93:O97)</f>
        <v>0</v>
      </c>
      <c r="P98" s="1621" t="s">
        <v>90</v>
      </c>
      <c r="Q98" s="1622"/>
      <c r="T98" s="1623"/>
      <c r="U98" s="1584"/>
      <c r="V98" s="1584"/>
      <c r="W98" s="1584"/>
      <c r="X98" s="1584"/>
      <c r="Y98" s="1584"/>
      <c r="Z98" s="1584"/>
      <c r="AA98" s="1584"/>
      <c r="AB98" s="1624"/>
      <c r="AC98" s="1585"/>
      <c r="AD98" s="1584"/>
      <c r="AE98" s="1584"/>
      <c r="AF98" s="1584"/>
      <c r="AG98" s="1586"/>
      <c r="AH98" s="1586"/>
      <c r="AI98" s="1586"/>
      <c r="AJ98" s="1586"/>
      <c r="AK98" s="1586"/>
      <c r="AL98" s="1586"/>
      <c r="AM98" s="1586"/>
      <c r="AN98" s="1586"/>
    </row>
    <row r="99" spans="2:40" s="1586" customFormat="1" ht="12.75" customHeight="1" x14ac:dyDescent="0.25">
      <c r="T99" s="1625"/>
      <c r="AC99" s="1626"/>
    </row>
    <row r="100" spans="2:40" ht="12.75" customHeight="1" x14ac:dyDescent="0.25">
      <c r="B100" s="1081"/>
      <c r="C100" s="1082"/>
      <c r="D100" s="1082"/>
      <c r="E100" s="1082"/>
      <c r="F100" s="1082"/>
      <c r="G100" s="1082"/>
      <c r="H100" s="1082"/>
      <c r="I100" s="1082"/>
      <c r="J100" s="1082"/>
      <c r="K100" s="1082"/>
      <c r="L100" s="1082"/>
      <c r="M100" s="1082"/>
      <c r="N100" s="1082"/>
      <c r="O100" s="1082"/>
      <c r="P100" s="1082"/>
      <c r="Q100" s="1083"/>
      <c r="T100" s="263"/>
      <c r="AC100" s="261"/>
    </row>
    <row r="101" spans="2:40" ht="12.75" customHeight="1" x14ac:dyDescent="0.25">
      <c r="B101" s="1084"/>
      <c r="C101" s="1109" t="s">
        <v>1365</v>
      </c>
      <c r="D101" s="1086"/>
      <c r="E101" s="1086"/>
      <c r="F101" s="1086"/>
      <c r="G101" s="1086"/>
      <c r="H101" s="1086"/>
      <c r="I101" s="1086"/>
      <c r="J101" s="1086"/>
      <c r="K101" s="1086"/>
      <c r="L101" s="1086"/>
      <c r="M101" s="1086"/>
      <c r="N101" s="1086"/>
      <c r="O101" s="1086"/>
      <c r="P101" s="1086"/>
      <c r="Q101" s="1087"/>
      <c r="T101" s="263"/>
      <c r="AC101" s="261"/>
    </row>
    <row r="102" spans="2:40" ht="12.75" customHeight="1" x14ac:dyDescent="0.25">
      <c r="B102" s="1089"/>
      <c r="C102" s="1090"/>
      <c r="D102" s="1090"/>
      <c r="E102" s="1091" t="s">
        <v>704</v>
      </c>
      <c r="F102" s="1091" t="s">
        <v>719</v>
      </c>
      <c r="G102" s="1253" t="s">
        <v>720</v>
      </c>
      <c r="H102" s="1253" t="s">
        <v>721</v>
      </c>
      <c r="I102" s="1253" t="s">
        <v>722</v>
      </c>
      <c r="J102" s="1090"/>
      <c r="K102" s="1090"/>
      <c r="L102" s="1090"/>
      <c r="M102" s="1090"/>
      <c r="N102" s="1090"/>
      <c r="O102" s="1091"/>
      <c r="P102" s="1090"/>
      <c r="Q102" s="1094"/>
      <c r="T102" s="263"/>
      <c r="AC102" s="261"/>
    </row>
    <row r="103" spans="2:40" ht="12.75" customHeight="1" x14ac:dyDescent="0.25">
      <c r="B103" s="1192"/>
      <c r="C103" s="1193"/>
      <c r="D103" s="1193"/>
      <c r="E103" s="1193"/>
      <c r="F103" s="1193"/>
      <c r="G103" s="1193"/>
      <c r="H103" s="1193"/>
      <c r="I103" s="1193"/>
      <c r="J103" s="1193"/>
      <c r="K103" s="1193"/>
      <c r="L103" s="1193"/>
      <c r="M103" s="1193"/>
      <c r="N103" s="1193"/>
      <c r="O103" s="1193"/>
      <c r="P103" s="1193"/>
      <c r="Q103" s="1195"/>
      <c r="T103" s="1299" t="s">
        <v>723</v>
      </c>
      <c r="U103" s="1299" t="s">
        <v>724</v>
      </c>
      <c r="V103" s="1299" t="s">
        <v>722</v>
      </c>
      <c r="W103" s="1299" t="s">
        <v>725</v>
      </c>
      <c r="X103" s="1299" t="s">
        <v>711</v>
      </c>
      <c r="AC103" s="261"/>
    </row>
    <row r="104" spans="2:40" ht="12.75" customHeight="1" x14ac:dyDescent="0.25">
      <c r="B104" s="36"/>
      <c r="C104" s="37" t="s">
        <v>726</v>
      </c>
      <c r="D104" s="37"/>
      <c r="E104" s="1675"/>
      <c r="F104" s="1452"/>
      <c r="G104" s="1453"/>
      <c r="H104" s="1676"/>
      <c r="I104" s="1455"/>
      <c r="J104" s="37"/>
      <c r="K104" s="37"/>
      <c r="L104" s="37"/>
      <c r="M104" s="37"/>
      <c r="N104" s="37"/>
      <c r="O104" s="37"/>
      <c r="P104" s="37"/>
      <c r="Q104" s="38"/>
      <c r="T104" s="920">
        <f>F104</f>
        <v>0</v>
      </c>
      <c r="U104" s="921" t="e" cm="1">
        <f t="array" ref="U104">_xlfn.IFS($E104='Hidden Lists and Summaries'!$B$146,$G104)</f>
        <v>#N/A</v>
      </c>
      <c r="V104" s="921">
        <f>$I104</f>
        <v>0</v>
      </c>
      <c r="W104" s="921">
        <f>$H104</f>
        <v>0</v>
      </c>
      <c r="X104" s="922" cm="1">
        <f t="array" ref="X104">_xlfn.IFS($E104='Hidden Lists and Summaries'!$B$146,$T104-$U104,$E104='Hidden Lists and Summaries'!$B$147,$V104*$W104,TRUE,0)</f>
        <v>0</v>
      </c>
      <c r="Y104" s="322"/>
      <c r="Z104" s="322"/>
      <c r="AA104" s="322"/>
      <c r="AB104" s="322"/>
      <c r="AC104" s="924"/>
    </row>
    <row r="105" spans="2:40" ht="12.75" customHeight="1" x14ac:dyDescent="0.25">
      <c r="B105" s="39"/>
      <c r="C105" s="1375"/>
      <c r="D105" s="1375"/>
      <c r="E105" s="1375"/>
      <c r="F105" s="1375"/>
      <c r="G105" s="1375"/>
      <c r="H105" s="1375"/>
      <c r="I105" s="1375"/>
      <c r="J105" s="1375"/>
      <c r="K105" s="1375"/>
      <c r="L105" s="1375"/>
      <c r="M105" s="1375"/>
      <c r="N105" s="1375"/>
      <c r="O105" s="1375"/>
      <c r="P105" s="1375"/>
      <c r="Q105" s="40"/>
    </row>
    <row r="106" spans="2:40" ht="24.75" customHeight="1" x14ac:dyDescent="0.25"/>
    <row r="110" spans="2:40" ht="24.75" hidden="1" customHeight="1" x14ac:dyDescent="0.3">
      <c r="F110" s="228" t="s">
        <v>727</v>
      </c>
      <c r="G110" t="s">
        <v>728</v>
      </c>
      <c r="H110" s="227" t="s">
        <v>729</v>
      </c>
      <c r="I110" t="s">
        <v>81</v>
      </c>
    </row>
    <row r="111" spans="2:40" ht="24.75" hidden="1" customHeight="1" x14ac:dyDescent="0.3">
      <c r="F111" s="1408" t="s">
        <v>389</v>
      </c>
      <c r="G111" s="790" t="s">
        <v>666</v>
      </c>
      <c r="H111" s="1382">
        <f>P22+P32</f>
        <v>0</v>
      </c>
      <c r="I111" s="790" t="s">
        <v>730</v>
      </c>
    </row>
    <row r="112" spans="2:40" ht="24.75" hidden="1" customHeight="1" x14ac:dyDescent="0.25">
      <c r="G112" t="s">
        <v>665</v>
      </c>
      <c r="H112" s="227">
        <f>O22+O32+P50</f>
        <v>0</v>
      </c>
      <c r="I112" t="s">
        <v>730</v>
      </c>
    </row>
    <row r="113" spans="6:9" ht="24.75" hidden="1" customHeight="1" x14ac:dyDescent="0.25">
      <c r="G113" t="s">
        <v>731</v>
      </c>
      <c r="H113" s="227">
        <f>P42</f>
        <v>0</v>
      </c>
      <c r="I113" t="s">
        <v>730</v>
      </c>
    </row>
    <row r="114" spans="6:9" ht="24.75" hidden="1" customHeight="1" x14ac:dyDescent="0.25">
      <c r="G114" t="s">
        <v>732</v>
      </c>
      <c r="H114" s="227">
        <f>O42</f>
        <v>0</v>
      </c>
      <c r="I114" t="s">
        <v>730</v>
      </c>
    </row>
    <row r="115" spans="6:9" ht="24.75" hidden="1" customHeight="1" x14ac:dyDescent="0.3">
      <c r="G115" s="228" t="s">
        <v>733</v>
      </c>
      <c r="H115" s="227">
        <f>SUM(H113:H114)</f>
        <v>0</v>
      </c>
      <c r="I115" t="s">
        <v>730</v>
      </c>
    </row>
    <row r="116" spans="6:9" ht="24.75" hidden="1" customHeight="1" x14ac:dyDescent="0.3">
      <c r="G116" s="228" t="s">
        <v>734</v>
      </c>
      <c r="H116" s="227">
        <f>H112+H111-H115</f>
        <v>0</v>
      </c>
      <c r="I116" t="s">
        <v>730</v>
      </c>
    </row>
    <row r="117" spans="6:9" ht="24.75" hidden="1" customHeight="1" x14ac:dyDescent="0.3">
      <c r="F117" s="228" t="s">
        <v>390</v>
      </c>
      <c r="G117" t="s">
        <v>257</v>
      </c>
      <c r="H117" s="227">
        <f>N98+O85</f>
        <v>0</v>
      </c>
      <c r="I117" t="s">
        <v>730</v>
      </c>
    </row>
    <row r="118" spans="6:9" ht="24.75" hidden="1" customHeight="1" x14ac:dyDescent="0.25">
      <c r="G118" t="s">
        <v>259</v>
      </c>
      <c r="H118" s="227">
        <f>O98+O86</f>
        <v>0</v>
      </c>
      <c r="I118" t="s">
        <v>730</v>
      </c>
    </row>
    <row r="119" spans="6:9" ht="24.75" hidden="1" customHeight="1" x14ac:dyDescent="0.25">
      <c r="G119" t="s">
        <v>240</v>
      </c>
      <c r="H119" s="227">
        <f>O84</f>
        <v>0</v>
      </c>
      <c r="I119" t="s">
        <v>730</v>
      </c>
    </row>
    <row r="120" spans="6:9" ht="24.75" hidden="1" customHeight="1" x14ac:dyDescent="0.3">
      <c r="G120" s="228" t="s">
        <v>735</v>
      </c>
      <c r="H120" s="227">
        <f>SUM(H117:H119)</f>
        <v>0</v>
      </c>
      <c r="I120" t="s">
        <v>730</v>
      </c>
    </row>
    <row r="121" spans="6:9" ht="24.75" hidden="1" customHeight="1" x14ac:dyDescent="0.3">
      <c r="F121" s="228" t="s">
        <v>736</v>
      </c>
      <c r="G121" t="s">
        <v>737</v>
      </c>
      <c r="H121" s="227">
        <f>SUM(X64:X67) *1000</f>
        <v>0</v>
      </c>
      <c r="I121" t="s">
        <v>90</v>
      </c>
    </row>
    <row r="122" spans="6:9" ht="24.75" hidden="1" customHeight="1" x14ac:dyDescent="0.3">
      <c r="F122" s="228"/>
      <c r="G122" t="s">
        <v>738</v>
      </c>
      <c r="H122" s="227">
        <f>SUM(Y74:Y75)*1000</f>
        <v>0</v>
      </c>
      <c r="I122" t="s">
        <v>90</v>
      </c>
    </row>
    <row r="123" spans="6:9" ht="24.75" hidden="1" customHeight="1" x14ac:dyDescent="0.25">
      <c r="G123" t="s">
        <v>739</v>
      </c>
      <c r="H123" s="227">
        <f>X104*1000</f>
        <v>0</v>
      </c>
      <c r="I123" t="s">
        <v>90</v>
      </c>
    </row>
    <row r="124" spans="6:9" ht="24.75" hidden="1" customHeight="1" x14ac:dyDescent="0.3">
      <c r="G124" s="228" t="s">
        <v>393</v>
      </c>
      <c r="H124" s="227">
        <f>SUM(H121:H123)</f>
        <v>0</v>
      </c>
      <c r="I124" t="s">
        <v>90</v>
      </c>
    </row>
    <row r="125" spans="6:9" ht="24.75" hidden="1" customHeight="1" x14ac:dyDescent="0.3">
      <c r="F125" s="228" t="s">
        <v>740</v>
      </c>
      <c r="G125" t="s">
        <v>741</v>
      </c>
      <c r="H125" s="227" t="str">
        <f>IF(F8="","Dedicated pipeline",F8)</f>
        <v>Dedicated pipeline</v>
      </c>
    </row>
    <row r="126" spans="6:9" ht="24.75" hidden="1" customHeight="1" x14ac:dyDescent="0.25">
      <c r="G126" t="s">
        <v>742</v>
      </c>
      <c r="H126" s="227" t="str">
        <f>IF(SUM(W38:W41,T56:T57)=0,"Distance not provided as part of method")</f>
        <v>Distance not provided as part of method</v>
      </c>
      <c r="I126" t="s">
        <v>743</v>
      </c>
    </row>
    <row r="127" spans="6:9" ht="24.75" hidden="1" customHeight="1" x14ac:dyDescent="0.25">
      <c r="G127" t="s">
        <v>744</v>
      </c>
      <c r="H127" s="227">
        <f>I104</f>
        <v>0</v>
      </c>
      <c r="I127" t="s">
        <v>745</v>
      </c>
    </row>
    <row r="128" spans="6:9" ht="24.75" hidden="1" customHeight="1" x14ac:dyDescent="0.25">
      <c r="H128" s="227"/>
    </row>
  </sheetData>
  <sheetProtection sheet="1" selectLockedCells="1"/>
  <dataConsolidate/>
  <mergeCells count="12">
    <mergeCell ref="H89:J89"/>
    <mergeCell ref="I90:I91"/>
    <mergeCell ref="J90:J91"/>
    <mergeCell ref="K90:K91"/>
    <mergeCell ref="B3:Q3"/>
    <mergeCell ref="E5:E6"/>
    <mergeCell ref="J5:J6"/>
    <mergeCell ref="G53:G54"/>
    <mergeCell ref="C86:C87"/>
    <mergeCell ref="F44:H44"/>
    <mergeCell ref="F24:H24"/>
    <mergeCell ref="F14:H14"/>
  </mergeCells>
  <conditionalFormatting sqref="E18:H21">
    <cfRule type="expression" dxfId="206" priority="206">
      <formula>$Y18=FALSE</formula>
    </cfRule>
  </conditionalFormatting>
  <conditionalFormatting sqref="E56:H57 E28:J31">
    <cfRule type="expression" dxfId="205" priority="207">
      <formula>$AA28=FALSE</formula>
    </cfRule>
  </conditionalFormatting>
  <conditionalFormatting sqref="E38:I41">
    <cfRule type="expression" dxfId="204" priority="212">
      <formula>$AC38=FALSE</formula>
    </cfRule>
  </conditionalFormatting>
  <conditionalFormatting sqref="G38:G41">
    <cfRule type="expression" dxfId="201" priority="208">
      <formula>$AA38=TRUE</formula>
    </cfRule>
  </conditionalFormatting>
  <conditionalFormatting sqref="H8:H11">
    <cfRule type="expression" dxfId="196" priority="10">
      <formula>$X8=FALSE</formula>
    </cfRule>
  </conditionalFormatting>
  <conditionalFormatting sqref="H93:H97">
    <cfRule type="expression" dxfId="193" priority="210">
      <formula>AND(NOT(ISNUMBER(W93)),$F93&lt;&gt;"")</formula>
    </cfRule>
  </conditionalFormatting>
  <conditionalFormatting sqref="I38:I41">
    <cfRule type="expression" dxfId="190" priority="209">
      <formula>$AB38=TRUE</formula>
    </cfRule>
  </conditionalFormatting>
  <conditionalFormatting sqref="L93:L97">
    <cfRule type="expression" dxfId="188" priority="211">
      <formula>AND(NOT(ISNUMBER($V93)),$F93&lt;&gt;"")</formula>
    </cfRule>
  </conditionalFormatting>
  <dataValidations count="19">
    <dataValidation type="list" allowBlank="1" showInputMessage="1" showErrorMessage="1" sqref="E8:E12" xr:uid="{51A23BFC-5C73-4752-8B89-84A045CCDC73}">
      <formula1>Transport_Emissions_Estimation_Methods_List</formula1>
    </dataValidation>
    <dataValidation type="list" allowBlank="1" showInputMessage="1" showErrorMessage="1" sqref="E18:E21" xr:uid="{5411A71E-DE56-45B8-9D67-0B5434D2F43A}">
      <formula1>Fuel_Consumption_Measurement_Type_List</formula1>
    </dataValidation>
    <dataValidation type="list" allowBlank="1" showInputMessage="1" showErrorMessage="1" sqref="E28:E31" xr:uid="{D5143CAD-7309-4B03-800B-71E17FC0DD05}">
      <formula1>Load_Distance_Measure_Type_List</formula1>
    </dataValidation>
    <dataValidation type="list" allowBlank="1" showInputMessage="1" showErrorMessage="1" sqref="G8:G12" xr:uid="{F8AE8F8B-E381-4171-8995-912028C684B8}">
      <formula1>Transport_fuel_options_list</formula1>
    </dataValidation>
    <dataValidation type="list" allowBlank="1" showInputMessage="1" showErrorMessage="1" sqref="F8:F12" xr:uid="{0A48C12E-7187-400F-BAA0-0691E705CD3B}">
      <formula1>Transport_Vehicle_Types_List</formula1>
    </dataValidation>
    <dataValidation type="list" allowBlank="1" showInputMessage="1" showErrorMessage="1" sqref="E56:E57 E38:E41" xr:uid="{0ED39C1D-D1F1-4FE9-AE27-C50A6BF4EFA0}">
      <formula1>Transport_Route_Types_List</formula1>
    </dataValidation>
    <dataValidation type="list" allowBlank="1" showInputMessage="1" showErrorMessage="1" sqref="E104 E64:E67 E74:E75" xr:uid="{8A3C62C6-98AD-4192-A3B5-4E4E1781C948}">
      <formula1>Loss_Correction_Method_Options_List</formula1>
    </dataValidation>
    <dataValidation type="decimal" operator="greaterThanOrEqual" allowBlank="1" showInputMessage="1" showErrorMessage="1" error="Value must be greater than or equal to zero." prompt="Input total quantity of onsite electricity generated via fuel combustion allocated to this process. Value must be less than or equal to the total input into 'Electricity Usage' tab." sqref="E86" xr:uid="{E0C95533-FA00-4368-8B6D-92E0DCD1E3A3}">
      <formula1>0</formula1>
    </dataValidation>
    <dataValidation type="decimal" operator="greaterThanOrEqual" allowBlank="1" showInputMessage="1" showErrorMessage="1" error="Value must be greater than or equal to zero." prompt="Input total quantity of grid electricity allocated to this process. Value must be less than or equal to the total grid electricity input into 'Electricity Usage' tab." sqref="E85" xr:uid="{4AE2DE12-FF04-4D23-B199-B29EE87B69C7}">
      <formula1>0</formula1>
    </dataValidation>
    <dataValidation type="decimal" operator="greaterThanOrEqual" allowBlank="1" showInputMessage="1" showErrorMessage="1" error="Value must be greater than or equal to zero." prompt="Input total quantity of renewable electricity allocated to this process. Value must be less than or equal to the total renewable electricity input into 'Electricity Usage' tab." sqref="E83" xr:uid="{D27ACD12-3A82-488E-AFA8-F278CADCF276}">
      <formula1>0</formula1>
    </dataValidation>
    <dataValidation type="decimal" operator="greaterThanOrEqual" allowBlank="1" showInputMessage="1" showErrorMessage="1" error="Value must be greater than or equal to zero." prompt="Input total electricity consumption allocated to this process from all electricity sources" sqref="E82" xr:uid="{CBC010BB-785F-4F54-9452-3A78C1000325}">
      <formula1>0</formula1>
    </dataValidation>
    <dataValidation allowBlank="1" showDropDown="1" showInputMessage="1" showErrorMessage="1" prompt="Includes renewables from both onsite generation and purchased REC's" sqref="C83" xr:uid="{B7279286-6BD5-4D5A-B8EE-86475D65B8F6}"/>
    <dataValidation allowBlank="1" showDropDown="1" showInputMessage="1" showErrorMessage="1" sqref="Z86 C86 Y82:Y85 C82" xr:uid="{C8264316-92DA-4C6A-ADDD-163D3A912C1B}"/>
    <dataValidation type="decimal" operator="greaterThanOrEqual" allowBlank="1" showInputMessage="1" showErrorMessage="1" prompt="If no bespoke factor is entered a default will be selected._x000a__x000a_Note no defaults exist for some fuels. Cell will appear red if no default exists_x000a_" sqref="K93:K97" xr:uid="{CA593558-1B21-45C0-A525-501DB51190E8}">
      <formula1>0</formula1>
    </dataValidation>
    <dataValidation type="decimal" operator="greaterThan" allowBlank="1" showInputMessage="1" showErrorMessage="1" prompt="If no bespoke factor entered, a default will be selected." sqref="I93:J97" xr:uid="{50681E8F-1CAB-4D97-BCDD-78C49B315140}">
      <formula1>0</formula1>
    </dataValidation>
    <dataValidation type="decimal" operator="greaterThanOrEqual" allowBlank="1" showInputMessage="1" showErrorMessage="1" sqref="G93:G97" xr:uid="{9ABE4AF0-A2AF-4460-8E6C-E9C9FFDEB9F2}">
      <formula1>0</formula1>
    </dataValidation>
    <dataValidation type="decimal" operator="greaterThanOrEqual" allowBlank="1" showInputMessage="1" showErrorMessage="1" prompt="Leave blank to use a default value" sqref="I8:K11 H18:H21 H28:H31" xr:uid="{5DBD7D56-D447-4A92-9ECD-946C1DAFD245}">
      <formula1>0</formula1>
    </dataValidation>
    <dataValidation type="list" allowBlank="1" showDropDown="1" showInputMessage="1" showErrorMessage="1" sqref="F82:F83 F85:F86" xr:uid="{D0B6068E-D54B-439C-9D40-DC719975C10D}">
      <formula1>Energy_Units_Options</formula1>
    </dataValidation>
    <dataValidation type="list" allowBlank="1" showInputMessage="1" showErrorMessage="1" sqref="H8:H12" xr:uid="{06397716-C1CB-46BE-9C30-76B35885CE78}">
      <formula1>heavy_vehicle_design_standards_options</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72" id="{89FC564D-27C9-45C3-814F-4DEB597752DC}">
            <xm:f>$E18='Hidden Lists and Summaries'!$B$83</xm:f>
            <x14:dxf>
              <fill>
                <patternFill patternType="lightUp">
                  <bgColor rgb="FFE6E7E8"/>
                </patternFill>
              </fill>
            </x14:dxf>
          </x14:cfRule>
          <xm:sqref>F18:F21</xm:sqref>
        </x14:conditionalFormatting>
        <x14:conditionalFormatting xmlns:xm="http://schemas.microsoft.com/office/excel/2006/main">
          <x14:cfRule type="expression" priority="6" id="{9CBC0F7E-926E-46A9-86F4-DAE81A26E5AE}">
            <xm:f>IF($E64&lt;&gt;'Hidden Lists and Summaries'!$B$146,TRUE,FALSE)</xm:f>
            <x14:dxf>
              <fill>
                <patternFill patternType="lightUp">
                  <bgColor theme="2"/>
                </patternFill>
              </fill>
            </x14:dxf>
          </x14:cfRule>
          <xm:sqref>F64:F67 F74:F75</xm:sqref>
        </x14:conditionalFormatting>
        <x14:conditionalFormatting xmlns:xm="http://schemas.microsoft.com/office/excel/2006/main">
          <x14:cfRule type="expression" priority="3" stopIfTrue="1" id="{2AF43265-4651-48DF-9C84-706F55D6767A}">
            <xm:f>$E56='Hidden Lists and Summaries'!$B$142</xm:f>
            <x14:dxf>
              <fill>
                <patternFill patternType="lightUp">
                  <bgColor rgb="FFE6E7E8"/>
                </patternFill>
              </fill>
              <border>
                <vertical/>
                <horizontal/>
              </border>
            </x14:dxf>
          </x14:cfRule>
          <xm:sqref>G56:G57</xm:sqref>
        </x14:conditionalFormatting>
        <x14:conditionalFormatting xmlns:xm="http://schemas.microsoft.com/office/excel/2006/main">
          <x14:cfRule type="expression" priority="7" id="{20CBACC2-9AC6-4F18-96E5-6825C11C98D8}">
            <xm:f>IF($E$104&lt;&gt;'Hidden Lists and Summaries'!$B$146,TRUE,FALSE)</xm:f>
            <x14:dxf>
              <fill>
                <patternFill patternType="lightUp">
                  <fgColor auto="1"/>
                  <bgColor theme="2"/>
                </patternFill>
              </fill>
            </x14:dxf>
          </x14:cfRule>
          <xm:sqref>G104</xm:sqref>
        </x14:conditionalFormatting>
        <x14:conditionalFormatting xmlns:xm="http://schemas.microsoft.com/office/excel/2006/main">
          <x14:cfRule type="expression" priority="271" id="{EBA2CFE1-752E-4F3D-A886-580BDA499D03}">
            <xm:f>$E18='Hidden Lists and Summaries'!$B$82</xm:f>
            <x14:dxf>
              <fill>
                <patternFill patternType="lightUp">
                  <bgColor rgb="FFE6E7E8"/>
                </patternFill>
              </fill>
            </x14:dxf>
          </x14:cfRule>
          <xm:sqref>G18:H21</xm:sqref>
        </x14:conditionalFormatting>
        <x14:conditionalFormatting xmlns:xm="http://schemas.microsoft.com/office/excel/2006/main">
          <x14:cfRule type="expression" priority="4" id="{5D0D625D-BDAB-4543-9E70-7CCAFD3F74EB}">
            <xm:f>IF($E64&lt;&gt;'Hidden Lists and Summaries'!$B$147,TRUE,FALSE)</xm:f>
            <x14:dxf>
              <fill>
                <patternFill patternType="lightUp">
                  <bgColor theme="2"/>
                </patternFill>
              </fill>
            </x14:dxf>
          </x14:cfRule>
          <xm:sqref>G64:H67 G74:H75</xm:sqref>
        </x14:conditionalFormatting>
        <x14:conditionalFormatting xmlns:xm="http://schemas.microsoft.com/office/excel/2006/main">
          <x14:cfRule type="expression" priority="269" id="{EDC972AA-2ECA-4D68-8DAF-08BE411183D0}">
            <xm:f>$E28='Hidden Lists and Summaries'!$B$87</xm:f>
            <x14:dxf>
              <fill>
                <patternFill patternType="lightUp">
                  <bgColor rgb="FFE6E7E8"/>
                </patternFill>
              </fill>
            </x14:dxf>
          </x14:cfRule>
          <xm:sqref>H28:H31</xm:sqref>
        </x14:conditionalFormatting>
        <x14:conditionalFormatting xmlns:xm="http://schemas.microsoft.com/office/excel/2006/main">
          <x14:cfRule type="expression" priority="334" stopIfTrue="1" id="{C51B1258-B161-4670-A3B2-B67877B887B6}">
            <xm:f>$E38='Hidden Lists and Summaries'!$B$142</xm:f>
            <x14:dxf>
              <fill>
                <patternFill patternType="lightUp">
                  <bgColor rgb="FFE6E7E8"/>
                </patternFill>
              </fill>
              <border>
                <vertical/>
                <horizontal/>
              </border>
            </x14:dxf>
          </x14:cfRule>
          <xm:sqref>H38:H41</xm:sqref>
        </x14:conditionalFormatting>
        <x14:conditionalFormatting xmlns:xm="http://schemas.microsoft.com/office/excel/2006/main">
          <x14:cfRule type="expression" priority="9" id="{1EB75ECF-8E94-45F7-BD99-AE98CF70678C}">
            <xm:f>IF($E$104&lt;&gt;'Hidden Lists and Summaries'!$B$147,TRUE,FALSE)</xm:f>
            <x14:dxf>
              <fill>
                <patternFill patternType="lightUp">
                  <fgColor auto="1"/>
                  <bgColor theme="2"/>
                </patternFill>
              </fill>
            </x14:dxf>
          </x14:cfRule>
          <xm:sqref>H104:I104</xm:sqref>
        </x14:conditionalFormatting>
        <x14:conditionalFormatting xmlns:xm="http://schemas.microsoft.com/office/excel/2006/main">
          <x14:cfRule type="expression" priority="1" stopIfTrue="1" id="{6812291F-D68E-49E7-88D8-9C258FE4B7B9}">
            <xm:f>AND($E38='Hidden Lists and Summaries'!$B$142,$AB38="true")</xm:f>
            <x14:dxf>
              <fill>
                <patternFill patternType="lightUp">
                  <bgColor rgb="FFE6E7E8"/>
                </patternFill>
              </fill>
              <border>
                <vertical/>
                <horizontal/>
              </border>
            </x14:dxf>
          </x14:cfRule>
          <xm:sqref>I38:I41</xm:sqref>
        </x14:conditionalFormatting>
        <x14:conditionalFormatting xmlns:xm="http://schemas.microsoft.com/office/excel/2006/main">
          <x14:cfRule type="expression" priority="270" id="{E9DDDDA9-500E-4F0B-9AFC-79798F84C098}">
            <xm:f>$E28='Hidden Lists and Summaries'!$B$86</xm:f>
            <x14:dxf>
              <fill>
                <patternFill patternType="lightUp">
                  <bgColor rgb="FFE6E7E8"/>
                </patternFill>
              </fill>
            </x14:dxf>
          </x14:cfRule>
          <xm:sqref>I28:J31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A12121D-067D-4A76-8747-21E6E4668B82}">
          <x14:formula1>
            <xm:f>'Key Values'!$B$35:$B$37</xm:f>
          </x14:formula1>
          <xm:sqref>E93:E97</xm:sqref>
        </x14:dataValidation>
        <x14:dataValidation type="list" allowBlank="1" showInputMessage="1" showErrorMessage="1" xr:uid="{25A4AC47-CF56-4604-B1DF-BCBB9ED66A94}">
          <x14:formula1>
            <xm:f>IF(E93="Solid Fuel", 'Key Values'!$B$41:$B$58,IF(E93="Gaseous Fuel",'Key Values'!$B$72:$B$85,'Key Values'!$B$101:$B$120))</xm:f>
          </x14:formula1>
          <xm:sqref>F93:F97</xm:sqref>
        </x14:dataValidation>
        <x14:dataValidation type="list" allowBlank="1" showInputMessage="1" showErrorMessage="1" prompt="Cell will appear red if incompatible unit is selected" xr:uid="{D813D8D8-95BB-4CEF-8AA5-93DBC395CCB8}">
          <x14:formula1>
            <xm:f>IF(OR(AND(E93="Liquid Fuel", _xlfn.IFNA(VLOOKUP(F93,'Key Values'!$B$101:$H$120,3,FALSE)="GJ/t", FALSE) ),E93="Solid Fuel"),'Key Values'!$B$291:$B$292, 'Key Values'!$B$296:$B$298)</xm:f>
          </x14:formula1>
          <xm:sqref>H93:H97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E408-10D2-4F9F-B99A-BDD5BF04577D}">
  <sheetPr codeName="Sheet17">
    <tabColor theme="7" tint="-0.499984740745262"/>
    <pageSetUpPr autoPageBreaks="0" fitToPage="1"/>
  </sheetPr>
  <dimension ref="A1:Q205"/>
  <sheetViews>
    <sheetView showGridLines="0" showZeros="0" workbookViewId="0">
      <pane xSplit="1" ySplit="3" topLeftCell="B203" activePane="bottomRight" state="frozen"/>
      <selection pane="topRight" activeCell="B1" sqref="B1"/>
      <selection pane="bottomLeft" activeCell="A4" sqref="A4"/>
      <selection pane="bottomRight" activeCell="D205" sqref="D205"/>
    </sheetView>
  </sheetViews>
  <sheetFormatPr defaultColWidth="0" defaultRowHeight="12.5" zeroHeight="1" x14ac:dyDescent="0.25"/>
  <cols>
    <col min="1" max="1" width="3.453125" style="229" customWidth="1"/>
    <col min="2" max="2" width="9.1796875" style="229" customWidth="1"/>
    <col min="3" max="3" width="67.453125" style="497" bestFit="1" customWidth="1"/>
    <col min="4" max="4" width="30.54296875" style="229" bestFit="1" customWidth="1"/>
    <col min="5" max="6" width="27.453125" style="229" bestFit="1" customWidth="1"/>
    <col min="7" max="7" width="9" style="229" customWidth="1"/>
    <col min="8" max="8" width="3.453125" style="229" customWidth="1"/>
    <col min="9" max="11" width="9.1796875" style="229" hidden="1" customWidth="1"/>
    <col min="12" max="12" width="49.1796875" style="229" hidden="1" customWidth="1"/>
    <col min="13" max="13" width="20" style="229" hidden="1" customWidth="1"/>
    <col min="14" max="14" width="28.453125" style="229" hidden="1" customWidth="1"/>
    <col min="15" max="16384" width="9.1796875" style="229" hidden="1"/>
  </cols>
  <sheetData>
    <row r="1" spans="2:17" ht="18" customHeight="1" x14ac:dyDescent="0.25"/>
    <row r="2" spans="2:17" ht="102" customHeight="1" x14ac:dyDescent="0.25"/>
    <row r="3" spans="2:17" ht="31.5" customHeight="1" x14ac:dyDescent="0.25">
      <c r="B3" s="1911" t="s">
        <v>746</v>
      </c>
      <c r="C3" s="1911"/>
      <c r="D3" s="1911"/>
      <c r="E3" s="1911"/>
      <c r="F3" s="1911"/>
      <c r="G3" s="1911"/>
      <c r="H3" s="904"/>
      <c r="I3" s="904"/>
      <c r="J3" s="904"/>
      <c r="K3" s="904"/>
      <c r="L3" s="904"/>
      <c r="M3" s="904"/>
      <c r="N3" s="904"/>
      <c r="O3" s="904"/>
      <c r="P3" s="904"/>
      <c r="Q3" s="904"/>
    </row>
    <row r="4" spans="2:17" ht="15.5" x14ac:dyDescent="0.25">
      <c r="B4" s="187"/>
      <c r="C4" s="188"/>
      <c r="D4" s="188"/>
      <c r="E4" s="188"/>
      <c r="F4" s="188"/>
      <c r="G4" s="189"/>
      <c r="L4" s="73" t="s">
        <v>747</v>
      </c>
      <c r="M4"/>
      <c r="N4"/>
    </row>
    <row r="5" spans="2:17" ht="15.5" x14ac:dyDescent="0.25">
      <c r="B5" s="190"/>
      <c r="C5" s="250" t="s">
        <v>30</v>
      </c>
      <c r="D5" s="234"/>
      <c r="E5" s="234"/>
      <c r="F5" s="234"/>
      <c r="G5" s="191"/>
      <c r="L5" t="e">
        <f>VLOOKUP(iq_selectedPathway,M6:N8,2,FALSE) &amp; "[[Reporting Item]:[Value3]]"</f>
        <v>#N/A</v>
      </c>
      <c r="M5" t="s">
        <v>406</v>
      </c>
      <c r="N5" t="s">
        <v>748</v>
      </c>
    </row>
    <row r="6" spans="2:17" x14ac:dyDescent="0.25">
      <c r="B6" s="192"/>
      <c r="C6" s="193"/>
      <c r="D6" s="193"/>
      <c r="E6" s="193"/>
      <c r="F6" s="193"/>
      <c r="G6" s="194"/>
      <c r="L6"/>
      <c r="M6" t="str" cm="1">
        <f t="array" ref="M6:M8">Table34[Pathway Category]</f>
        <v>Electrolysis</v>
      </c>
      <c r="N6" t="s">
        <v>749</v>
      </c>
    </row>
    <row r="7" spans="2:17" x14ac:dyDescent="0.25">
      <c r="B7" s="251"/>
      <c r="C7" s="252"/>
      <c r="D7" s="252"/>
      <c r="E7" s="252"/>
      <c r="F7" s="252"/>
      <c r="G7" s="253"/>
      <c r="L7"/>
      <c r="M7" t="str">
        <v>Natural Gas Reforming</v>
      </c>
      <c r="N7" t="s">
        <v>750</v>
      </c>
    </row>
    <row r="8" spans="2:17" ht="13" x14ac:dyDescent="0.3">
      <c r="B8" s="36"/>
      <c r="C8" s="264" t="s">
        <v>401</v>
      </c>
      <c r="D8" s="244" t="str">
        <f ca="1">IFERROR(IF($C8&lt;&gt;"",VLOOKUP($C8,INDIRECT($L$5),2,FALSE),""),"")</f>
        <v/>
      </c>
      <c r="E8" s="593" t="str">
        <f ca="1">IFERROR(IF($C8&lt;&gt;"",VLOOKUP($C8,INDIRECT($L$5),3,FALSE),""),"")</f>
        <v/>
      </c>
      <c r="F8" s="245" t="str">
        <f ca="1">IFERROR(IF($C8&lt;&gt;"",VLOOKUP($C8,INDIRECT($L$5),4,FALSE),""),"")</f>
        <v/>
      </c>
      <c r="G8" s="38"/>
      <c r="L8"/>
      <c r="M8" t="str">
        <v>Coal Gasification</v>
      </c>
      <c r="N8" t="s">
        <v>751</v>
      </c>
    </row>
    <row r="9" spans="2:17" ht="13" x14ac:dyDescent="0.3">
      <c r="B9" s="36"/>
      <c r="C9" s="264" t="s">
        <v>402</v>
      </c>
      <c r="D9" s="246" t="str">
        <f ca="1">IFERROR(IF($C9&lt;&gt;"",VLOOKUP($C9,INDIRECT($L$5),2,FALSE),""),"")</f>
        <v/>
      </c>
      <c r="E9" s="594" t="str">
        <f ca="1">IFERROR(IF($C9&lt;&gt;"",VLOOKUP($C9,INDIRECT($L$5),3,FALSE),""),"")</f>
        <v/>
      </c>
      <c r="F9" s="247" t="str">
        <f ca="1">IFERROR(IF($C9&lt;&gt;"",VLOOKUP($C9,INDIRECT($L$5),4,FALSE),""),"")</f>
        <v/>
      </c>
      <c r="G9" s="38"/>
    </row>
    <row r="10" spans="2:17" ht="25" customHeight="1" x14ac:dyDescent="0.3">
      <c r="B10" s="36"/>
      <c r="C10" s="264" t="s">
        <v>403</v>
      </c>
      <c r="D10" s="246" t="str">
        <f ca="1">IFERROR(IF($C10&lt;&gt;"",VLOOKUP($C10,INDIRECT($L$5),2,FALSE),""),"")</f>
        <v/>
      </c>
      <c r="E10" s="725" t="str">
        <f ca="1">IFERROR(IF($C10&lt;&gt;"",VLOOKUP($C10,INDIRECT($L$5),3,FALSE),""),"")</f>
        <v/>
      </c>
      <c r="F10" s="599" t="str">
        <f ca="1">IFERROR(IF($C10&lt;&gt;"",VLOOKUP($C10,INDIRECT($L$5),4,FALSE),""),"")</f>
        <v/>
      </c>
      <c r="G10" s="38"/>
    </row>
    <row r="11" spans="2:17" ht="25" customHeight="1" x14ac:dyDescent="0.3">
      <c r="B11" s="39"/>
      <c r="C11" s="266" t="s">
        <v>405</v>
      </c>
      <c r="D11" s="248" t="str">
        <f ca="1">IFERROR(IF($C11&lt;&gt;"",VLOOKUP($C11,INDIRECT($L$5),2,FALSE),""),"")</f>
        <v/>
      </c>
      <c r="E11" s="607" t="str">
        <f ca="1">IFERROR(IF($C11&lt;&gt;"",VLOOKUP($C11,INDIRECT($L$5),3,FALSE),""),"")</f>
        <v/>
      </c>
      <c r="F11" s="249" t="str">
        <f ca="1">IFERROR(IF($C11&lt;&gt;"",VLOOKUP($C11,INDIRECT($L$5),4,FALSE),""),"")</f>
        <v/>
      </c>
      <c r="G11" s="40"/>
    </row>
    <row r="12" spans="2:17" ht="15.65" customHeight="1" x14ac:dyDescent="0.25">
      <c r="B12"/>
      <c r="C12"/>
      <c r="D12"/>
      <c r="E12"/>
      <c r="F12"/>
      <c r="G12"/>
    </row>
    <row r="13" spans="2:17" customFormat="1" x14ac:dyDescent="0.25">
      <c r="B13" s="187"/>
      <c r="C13" s="188"/>
      <c r="D13" s="188"/>
      <c r="E13" s="188"/>
      <c r="F13" s="188"/>
      <c r="G13" s="189"/>
    </row>
    <row r="14" spans="2:17" customFormat="1" ht="15.5" x14ac:dyDescent="0.25">
      <c r="B14" s="190"/>
      <c r="C14" s="250" t="s">
        <v>752</v>
      </c>
      <c r="D14" s="234"/>
      <c r="E14" s="234"/>
      <c r="F14" s="234"/>
      <c r="G14" s="191"/>
    </row>
    <row r="15" spans="2:17" customFormat="1" x14ac:dyDescent="0.25">
      <c r="B15" s="192"/>
      <c r="C15" s="193"/>
      <c r="D15" s="193"/>
      <c r="E15" s="193"/>
      <c r="F15" s="193"/>
      <c r="G15" s="194"/>
    </row>
    <row r="16" spans="2:17" customFormat="1" x14ac:dyDescent="0.25">
      <c r="B16" s="251"/>
      <c r="C16" s="252"/>
      <c r="D16" s="252"/>
      <c r="E16" s="252"/>
      <c r="F16" s="252"/>
      <c r="G16" s="253"/>
    </row>
    <row r="17" spans="1:14" customFormat="1" ht="13" x14ac:dyDescent="0.3">
      <c r="B17" s="36"/>
      <c r="C17" s="264" t="s">
        <v>406</v>
      </c>
      <c r="D17" s="244" t="str">
        <f t="shared" ref="D17:D22" ca="1" si="0">IFERROR(IF($C17&lt;&gt;"",VLOOKUP($C17,INDIRECT($L$5),2,FALSE),""),"")</f>
        <v/>
      </c>
      <c r="E17" s="593" t="str">
        <f t="shared" ref="E17:E22" ca="1" si="1">IFERROR(IF($C17&lt;&gt;"",VLOOKUP($C17,INDIRECT($L$5),3,FALSE),""),"")</f>
        <v/>
      </c>
      <c r="F17" s="245" t="str">
        <f t="shared" ref="F17:F22" ca="1" si="2">IFERROR(IF($C17&lt;&gt;"",VLOOKUP($C17,INDIRECT($L$5),4,FALSE),""),"")</f>
        <v/>
      </c>
      <c r="G17" s="38"/>
    </row>
    <row r="18" spans="1:14" customFormat="1" ht="13" x14ac:dyDescent="0.3">
      <c r="B18" s="36"/>
      <c r="C18" s="264" t="s">
        <v>407</v>
      </c>
      <c r="D18" s="246" t="str">
        <f t="shared" ca="1" si="0"/>
        <v/>
      </c>
      <c r="E18" s="735" t="str">
        <f t="shared" ca="1" si="1"/>
        <v/>
      </c>
      <c r="F18" s="599" t="str">
        <f t="shared" ca="1" si="2"/>
        <v/>
      </c>
      <c r="G18" s="38"/>
    </row>
    <row r="19" spans="1:14" customFormat="1" ht="13" x14ac:dyDescent="0.3">
      <c r="A19" s="261"/>
      <c r="B19" s="36"/>
      <c r="C19" s="264" t="s">
        <v>408</v>
      </c>
      <c r="D19" s="246" t="str">
        <f t="shared" ca="1" si="0"/>
        <v/>
      </c>
      <c r="E19" s="594" t="str">
        <f t="shared" ca="1" si="1"/>
        <v/>
      </c>
      <c r="F19" s="247" t="str">
        <f t="shared" ca="1" si="2"/>
        <v/>
      </c>
      <c r="G19" s="38"/>
    </row>
    <row r="20" spans="1:14" customFormat="1" ht="13" x14ac:dyDescent="0.3">
      <c r="B20" s="36"/>
      <c r="C20" s="264" t="s">
        <v>188</v>
      </c>
      <c r="D20" s="246" t="str">
        <f t="shared" ca="1" si="0"/>
        <v/>
      </c>
      <c r="E20" s="1691" t="str">
        <f ca="1">IFERROR(IF($C20&lt;&gt;"",VLOOKUP($C20,INDIRECT($L$5),3,FALSE),""),"")</f>
        <v/>
      </c>
      <c r="F20" s="247"/>
      <c r="G20" s="38"/>
    </row>
    <row r="21" spans="1:14" customFormat="1" ht="13" x14ac:dyDescent="0.3">
      <c r="B21" s="36"/>
      <c r="C21" s="885" t="s">
        <v>410</v>
      </c>
      <c r="D21" s="246" t="str">
        <f t="shared" ca="1" si="0"/>
        <v/>
      </c>
      <c r="E21" s="594" t="str">
        <f t="shared" ca="1" si="1"/>
        <v/>
      </c>
      <c r="F21" s="247" t="str">
        <f t="shared" ca="1" si="2"/>
        <v/>
      </c>
      <c r="G21" s="886"/>
    </row>
    <row r="22" spans="1:14" customFormat="1" ht="13" x14ac:dyDescent="0.3">
      <c r="B22" s="39"/>
      <c r="C22" s="266" t="s">
        <v>393</v>
      </c>
      <c r="D22" s="248" t="str">
        <f t="shared" ca="1" si="0"/>
        <v/>
      </c>
      <c r="E22" s="608" t="str">
        <f t="shared" ca="1" si="1"/>
        <v/>
      </c>
      <c r="F22" s="249" t="str">
        <f t="shared" ca="1" si="2"/>
        <v/>
      </c>
      <c r="G22" s="40"/>
    </row>
    <row r="23" spans="1:14" customFormat="1" x14ac:dyDescent="0.25"/>
    <row r="24" spans="1:14" customFormat="1" x14ac:dyDescent="0.25">
      <c r="B24" s="187"/>
      <c r="C24" s="188"/>
      <c r="D24" s="188"/>
      <c r="E24" s="188"/>
      <c r="F24" s="188"/>
      <c r="G24" s="189"/>
    </row>
    <row r="25" spans="1:14" customFormat="1" ht="15.5" x14ac:dyDescent="0.35">
      <c r="B25" s="190"/>
      <c r="C25" s="254" t="s">
        <v>37</v>
      </c>
      <c r="D25" s="234"/>
      <c r="E25" s="234"/>
      <c r="F25" s="234"/>
      <c r="G25" s="191"/>
    </row>
    <row r="26" spans="1:14" customFormat="1" x14ac:dyDescent="0.25">
      <c r="B26" s="192"/>
      <c r="C26" s="193"/>
      <c r="D26" s="193"/>
      <c r="E26" s="193"/>
      <c r="F26" s="193"/>
      <c r="G26" s="194"/>
    </row>
    <row r="27" spans="1:14" customFormat="1" x14ac:dyDescent="0.25">
      <c r="B27" s="36"/>
      <c r="C27" s="37"/>
      <c r="D27" s="37"/>
      <c r="E27" s="37"/>
      <c r="F27" s="37"/>
      <c r="G27" s="38"/>
    </row>
    <row r="28" spans="1:14" customFormat="1" ht="13" x14ac:dyDescent="0.3">
      <c r="B28" s="36"/>
      <c r="C28" s="264" t="s">
        <v>411</v>
      </c>
      <c r="D28" s="244" t="str">
        <f ca="1">IFERROR(IF($C28&lt;&gt;"",VLOOKUP($C28,INDIRECT($L$5),2,FALSE),""),"")</f>
        <v/>
      </c>
      <c r="E28" s="593" t="str">
        <f ca="1">IFERROR(IF($C28&lt;&gt;"",VLOOKUP($C28,INDIRECT($L$5),3,FALSE),""),"")</f>
        <v/>
      </c>
      <c r="F28" s="245" t="str">
        <f ca="1">IFERROR(IF($C28&lt;&gt;"",VLOOKUP($C28,INDIRECT($L$5),4,FALSE),""),"")</f>
        <v/>
      </c>
      <c r="G28" s="38"/>
    </row>
    <row r="29" spans="1:14" customFormat="1" ht="13" x14ac:dyDescent="0.3">
      <c r="B29" s="36"/>
      <c r="C29" s="264" t="s">
        <v>412</v>
      </c>
      <c r="D29" s="246" t="str">
        <f ca="1">IFERROR(IF($C29&lt;&gt;"",VLOOKUP($C29,INDIRECT($L$5),2,FALSE),""),"")</f>
        <v/>
      </c>
      <c r="E29" s="594" t="str">
        <f ca="1">IFERROR(IF($C29&lt;&gt;"",VLOOKUP($C29,INDIRECT($L$5),3,FALSE),""),"")</f>
        <v/>
      </c>
      <c r="F29" s="247" t="str">
        <f ca="1">IFERROR(IF($C29&lt;&gt;"",VLOOKUP($C29,INDIRECT($L$5),4,FALSE),""),"")</f>
        <v/>
      </c>
      <c r="G29" s="38"/>
    </row>
    <row r="30" spans="1:14" customFormat="1" ht="13" x14ac:dyDescent="0.3">
      <c r="B30" s="39"/>
      <c r="C30" s="266" t="s">
        <v>413</v>
      </c>
      <c r="D30" s="248" t="str">
        <f ca="1">IFERROR(IF($C30&lt;&gt;"",VLOOKUP($C30,INDIRECT($L$5),2,FALSE),""),"")</f>
        <v/>
      </c>
      <c r="E30" s="722" t="str">
        <f ca="1">IFERROR(IF($C30&lt;&gt;"",VLOOKUP($C30,INDIRECT($L$5),3,FALSE),""),"")</f>
        <v/>
      </c>
      <c r="F30" s="600" t="str">
        <f ca="1">IFERROR(IF($C30&lt;&gt;"",VLOOKUP($C30,INDIRECT($L$5),4,FALSE),""),"")</f>
        <v/>
      </c>
      <c r="G30" s="40"/>
    </row>
    <row r="31" spans="1:14" customFormat="1" x14ac:dyDescent="0.25">
      <c r="E31" s="227"/>
      <c r="L31" s="229"/>
      <c r="M31" s="229"/>
      <c r="N31" s="229"/>
    </row>
    <row r="32" spans="1:14" customFormat="1" ht="15.65" customHeight="1" x14ac:dyDescent="0.25">
      <c r="B32" s="115"/>
      <c r="C32" s="116"/>
      <c r="D32" s="116"/>
      <c r="E32" s="116"/>
      <c r="F32" s="116"/>
      <c r="G32" s="117"/>
      <c r="L32" s="229"/>
      <c r="M32" s="229"/>
      <c r="N32" s="229"/>
    </row>
    <row r="33" spans="2:14" customFormat="1" ht="15.65" customHeight="1" x14ac:dyDescent="0.25">
      <c r="B33" s="118"/>
      <c r="C33" s="793" t="s">
        <v>753</v>
      </c>
      <c r="D33" s="114"/>
      <c r="E33" s="114"/>
      <c r="F33" s="114"/>
      <c r="G33" s="120"/>
      <c r="L33" s="229"/>
      <c r="M33" s="229"/>
      <c r="N33" s="229"/>
    </row>
    <row r="34" spans="2:14" customFormat="1" ht="15.65" customHeight="1" x14ac:dyDescent="0.25">
      <c r="B34" s="179"/>
      <c r="C34" s="180"/>
      <c r="D34" s="791"/>
      <c r="E34" s="791" t="s">
        <v>754</v>
      </c>
      <c r="F34" s="795"/>
      <c r="G34" s="183"/>
      <c r="L34" s="229"/>
      <c r="M34" s="229"/>
      <c r="N34" s="229"/>
    </row>
    <row r="35" spans="2:14" customFormat="1" ht="15.65" customHeight="1" x14ac:dyDescent="0.25">
      <c r="B35" s="46"/>
      <c r="C35" s="47"/>
      <c r="D35" s="47"/>
      <c r="E35" s="47"/>
      <c r="F35" s="47"/>
      <c r="G35" s="49"/>
      <c r="L35" s="229"/>
      <c r="M35" s="229"/>
      <c r="N35" s="229"/>
    </row>
    <row r="36" spans="2:14" customFormat="1" ht="15.65" customHeight="1" x14ac:dyDescent="0.25">
      <c r="B36" s="46"/>
      <c r="C36" s="597" t="s">
        <v>364</v>
      </c>
      <c r="D36" s="577" t="str">
        <f t="shared" ref="D36:D44" ca="1" si="3">IFERROR(IF($C36&lt;&gt;"",VLOOKUP($C36,INDIRECT($L$5),2,FALSE),""),"")</f>
        <v/>
      </c>
      <c r="E36" s="730" t="str">
        <f t="shared" ref="E36:E44" ca="1" si="4">IFERROR(IF($C36&lt;&gt;"",VLOOKUP($C36,INDIRECT($L$5),3,FALSE),""),"")</f>
        <v/>
      </c>
      <c r="F36" s="576" t="str">
        <f t="shared" ref="F36:F44" ca="1" si="5">IFERROR(IF($C36&lt;&gt;"",VLOOKUP($C36,INDIRECT($L$5),4,FALSE),""),"")</f>
        <v/>
      </c>
      <c r="G36" s="49"/>
    </row>
    <row r="37" spans="2:14" customFormat="1" ht="15.65" customHeight="1" x14ac:dyDescent="0.25">
      <c r="B37" s="46"/>
      <c r="C37" s="590" t="s">
        <v>365</v>
      </c>
      <c r="D37" s="578" t="str">
        <f t="shared" ca="1" si="3"/>
        <v/>
      </c>
      <c r="E37" s="731" t="str">
        <f t="shared" ca="1" si="4"/>
        <v/>
      </c>
      <c r="F37" s="575" t="str">
        <f t="shared" ca="1" si="5"/>
        <v/>
      </c>
      <c r="G37" s="49"/>
    </row>
    <row r="38" spans="2:14" customFormat="1" ht="15.65" customHeight="1" x14ac:dyDescent="0.25">
      <c r="B38" s="46"/>
      <c r="C38" s="590" t="s">
        <v>366</v>
      </c>
      <c r="D38" s="578" t="str">
        <f t="shared" ca="1" si="3"/>
        <v/>
      </c>
      <c r="E38" s="731" t="str">
        <f t="shared" ca="1" si="4"/>
        <v/>
      </c>
      <c r="F38" s="575" t="str">
        <f t="shared" ca="1" si="5"/>
        <v/>
      </c>
      <c r="G38" s="49"/>
    </row>
    <row r="39" spans="2:14" customFormat="1" ht="15.65" customHeight="1" x14ac:dyDescent="0.25">
      <c r="B39" s="46"/>
      <c r="C39" s="590" t="s">
        <v>118</v>
      </c>
      <c r="D39" s="578" t="str">
        <f t="shared" ca="1" si="3"/>
        <v/>
      </c>
      <c r="E39" s="731" t="str">
        <f t="shared" ca="1" si="4"/>
        <v/>
      </c>
      <c r="F39" s="575" t="str">
        <f t="shared" ca="1" si="5"/>
        <v/>
      </c>
      <c r="G39" s="49"/>
    </row>
    <row r="40" spans="2:14" customFormat="1" ht="15.65" customHeight="1" x14ac:dyDescent="0.3">
      <c r="B40" s="46"/>
      <c r="C40" s="590" t="s">
        <v>367</v>
      </c>
      <c r="D40" s="578" t="str">
        <f t="shared" ca="1" si="3"/>
        <v/>
      </c>
      <c r="E40" s="731" t="str">
        <f t="shared" ca="1" si="4"/>
        <v/>
      </c>
      <c r="F40" s="575" t="str">
        <f t="shared" ca="1" si="5"/>
        <v/>
      </c>
      <c r="G40" s="49"/>
      <c r="I40" s="228"/>
    </row>
    <row r="41" spans="2:14" ht="15.65" customHeight="1" x14ac:dyDescent="0.25">
      <c r="B41" s="46"/>
      <c r="C41" s="590" t="s">
        <v>368</v>
      </c>
      <c r="D41" s="578" t="str">
        <f t="shared" ca="1" si="3"/>
        <v/>
      </c>
      <c r="E41" s="731" t="str">
        <f t="shared" ca="1" si="4"/>
        <v/>
      </c>
      <c r="F41" s="575" t="str">
        <f t="shared" ca="1" si="5"/>
        <v/>
      </c>
      <c r="G41" s="49"/>
    </row>
    <row r="42" spans="2:14" ht="15.65" customHeight="1" x14ac:dyDescent="0.25">
      <c r="B42" s="46"/>
      <c r="C42" s="63"/>
      <c r="D42" s="578" t="str">
        <f t="shared" ca="1" si="3"/>
        <v/>
      </c>
      <c r="E42" s="731" t="str">
        <f t="shared" ca="1" si="4"/>
        <v/>
      </c>
      <c r="F42" s="575" t="str">
        <f t="shared" ca="1" si="5"/>
        <v/>
      </c>
      <c r="G42" s="49"/>
    </row>
    <row r="43" spans="2:14" ht="15.65" customHeight="1" x14ac:dyDescent="0.25">
      <c r="B43" s="46"/>
      <c r="C43" s="86" t="s">
        <v>370</v>
      </c>
      <c r="D43" s="579" t="str">
        <f t="shared" ca="1" si="3"/>
        <v/>
      </c>
      <c r="E43" s="732" t="str">
        <f t="shared" ca="1" si="4"/>
        <v/>
      </c>
      <c r="F43" s="592" t="str">
        <f t="shared" ca="1" si="5"/>
        <v/>
      </c>
      <c r="G43" s="49"/>
    </row>
    <row r="44" spans="2:14" ht="15.65" customHeight="1" x14ac:dyDescent="0.25">
      <c r="B44" s="53"/>
      <c r="C44" s="88" t="s">
        <v>371</v>
      </c>
      <c r="D44" s="580" t="str">
        <f t="shared" ca="1" si="3"/>
        <v/>
      </c>
      <c r="E44" s="734" t="str">
        <f t="shared" ca="1" si="4"/>
        <v/>
      </c>
      <c r="F44" s="591" t="str">
        <f t="shared" ca="1" si="5"/>
        <v/>
      </c>
      <c r="G44" s="55"/>
    </row>
    <row r="45" spans="2:14" ht="15.5" x14ac:dyDescent="0.25">
      <c r="B45" s="43"/>
      <c r="C45" s="43"/>
      <c r="D45" s="43"/>
      <c r="E45" s="43"/>
      <c r="F45" s="43"/>
      <c r="G45" s="43"/>
    </row>
    <row r="46" spans="2:14" x14ac:dyDescent="0.25">
      <c r="B46" s="115"/>
      <c r="C46" s="116"/>
      <c r="D46" s="116"/>
      <c r="E46" s="116"/>
      <c r="F46" s="116"/>
      <c r="G46" s="117"/>
    </row>
    <row r="47" spans="2:14" ht="15.5" x14ac:dyDescent="0.25">
      <c r="B47" s="118"/>
      <c r="C47" s="119" t="s">
        <v>755</v>
      </c>
      <c r="D47" s="114"/>
      <c r="E47" s="114"/>
      <c r="F47" s="114"/>
      <c r="G47" s="120"/>
    </row>
    <row r="48" spans="2:14" ht="15.5" x14ac:dyDescent="0.25">
      <c r="B48" s="179"/>
      <c r="C48" s="180"/>
      <c r="D48" s="182"/>
      <c r="E48" s="791" t="s">
        <v>754</v>
      </c>
      <c r="F48" s="182"/>
      <c r="G48" s="183"/>
    </row>
    <row r="49" spans="2:7" x14ac:dyDescent="0.25">
      <c r="B49" s="46"/>
      <c r="C49" s="47"/>
      <c r="D49" s="47"/>
      <c r="E49" s="47"/>
      <c r="F49" s="47"/>
      <c r="G49" s="49"/>
    </row>
    <row r="50" spans="2:7" ht="13" x14ac:dyDescent="0.25">
      <c r="B50" s="46"/>
      <c r="C50" s="605" t="s">
        <v>373</v>
      </c>
      <c r="D50" s="581" t="str">
        <f t="shared" ref="D50:D62" ca="1" si="6">IFERROR(IF($C50&lt;&gt;"",VLOOKUP($C50,INDIRECT($L$5),2,FALSE),""),"")</f>
        <v/>
      </c>
      <c r="E50" s="730" t="str">
        <f t="shared" ref="E50:E62" ca="1" si="7">IFERROR(IF($C50&lt;&gt;"",VLOOKUP($C50,INDIRECT($L$5),3,FALSE),""),"")</f>
        <v/>
      </c>
      <c r="F50" s="601" t="str">
        <f t="shared" ref="F50:F62" ca="1" si="8">IFERROR(IF($C50&lt;&gt;"",VLOOKUP($C50,INDIRECT($L$5),4,FALSE),""),"")</f>
        <v/>
      </c>
      <c r="G50" s="49"/>
    </row>
    <row r="51" spans="2:7" ht="15.65" customHeight="1" x14ac:dyDescent="0.25">
      <c r="B51" s="46"/>
      <c r="C51" s="606" t="s">
        <v>374</v>
      </c>
      <c r="D51" s="578" t="str">
        <f t="shared" ca="1" si="6"/>
        <v/>
      </c>
      <c r="E51" s="731" t="str">
        <f t="shared" ca="1" si="7"/>
        <v/>
      </c>
      <c r="F51" s="602" t="str">
        <f t="shared" ca="1" si="8"/>
        <v/>
      </c>
      <c r="G51" s="49"/>
    </row>
    <row r="52" spans="2:7" ht="15.65" customHeight="1" x14ac:dyDescent="0.25">
      <c r="B52" s="46"/>
      <c r="C52" s="606" t="s">
        <v>375</v>
      </c>
      <c r="D52" s="578" t="str">
        <f t="shared" ca="1" si="6"/>
        <v/>
      </c>
      <c r="E52" s="731" t="str">
        <f t="shared" ca="1" si="7"/>
        <v/>
      </c>
      <c r="F52" s="602" t="str">
        <f t="shared" ca="1" si="8"/>
        <v/>
      </c>
      <c r="G52" s="49"/>
    </row>
    <row r="53" spans="2:7" ht="15.65" customHeight="1" x14ac:dyDescent="0.25">
      <c r="B53" s="46"/>
      <c r="C53" s="606" t="s">
        <v>490</v>
      </c>
      <c r="D53" s="578" t="str">
        <f t="shared" ca="1" si="6"/>
        <v/>
      </c>
      <c r="E53" s="731" t="str">
        <f t="shared" ca="1" si="7"/>
        <v/>
      </c>
      <c r="F53" s="602" t="str">
        <f t="shared" ca="1" si="8"/>
        <v/>
      </c>
      <c r="G53" s="49"/>
    </row>
    <row r="54" spans="2:7" ht="15.65" customHeight="1" x14ac:dyDescent="0.25">
      <c r="B54" s="46"/>
      <c r="C54" s="606" t="s">
        <v>377</v>
      </c>
      <c r="D54" s="578" t="str">
        <f t="shared" ca="1" si="6"/>
        <v/>
      </c>
      <c r="E54" s="733" t="str">
        <f t="shared" ca="1" si="7"/>
        <v/>
      </c>
      <c r="F54" s="602" t="str">
        <f t="shared" ca="1" si="8"/>
        <v/>
      </c>
      <c r="G54" s="49"/>
    </row>
    <row r="55" spans="2:7" ht="15.65" customHeight="1" x14ac:dyDescent="0.25">
      <c r="B55" s="46"/>
      <c r="C55" s="606" t="s">
        <v>378</v>
      </c>
      <c r="D55" s="578" t="str">
        <f t="shared" ca="1" si="6"/>
        <v/>
      </c>
      <c r="E55" s="733" t="str">
        <f t="shared" ca="1" si="7"/>
        <v/>
      </c>
      <c r="F55" s="602" t="str">
        <f t="shared" ca="1" si="8"/>
        <v/>
      </c>
      <c r="G55" s="49"/>
    </row>
    <row r="56" spans="2:7" ht="15.65" customHeight="1" x14ac:dyDescent="0.25">
      <c r="B56" s="46"/>
      <c r="C56" s="606" t="s">
        <v>379</v>
      </c>
      <c r="D56" s="578" t="str">
        <f t="shared" ca="1" si="6"/>
        <v/>
      </c>
      <c r="E56" s="733" t="str">
        <f t="shared" ca="1" si="7"/>
        <v/>
      </c>
      <c r="F56" s="602" t="str">
        <f t="shared" ca="1" si="8"/>
        <v/>
      </c>
      <c r="G56" s="49"/>
    </row>
    <row r="57" spans="2:7" ht="15.65" customHeight="1" x14ac:dyDescent="0.25">
      <c r="B57" s="46"/>
      <c r="C57" s="606" t="s">
        <v>380</v>
      </c>
      <c r="D57" s="578" t="str">
        <f t="shared" ca="1" si="6"/>
        <v/>
      </c>
      <c r="E57" s="733" t="str">
        <f t="shared" ca="1" si="7"/>
        <v/>
      </c>
      <c r="F57" s="602" t="str">
        <f t="shared" ca="1" si="8"/>
        <v/>
      </c>
      <c r="G57" s="49"/>
    </row>
    <row r="58" spans="2:7" ht="15.65" customHeight="1" x14ac:dyDescent="0.25">
      <c r="B58" s="46"/>
      <c r="C58" s="606" t="s">
        <v>381</v>
      </c>
      <c r="D58" s="578" t="str">
        <f t="shared" ca="1" si="6"/>
        <v/>
      </c>
      <c r="E58" s="733" t="str">
        <f t="shared" ca="1" si="7"/>
        <v/>
      </c>
      <c r="F58" s="602" t="str">
        <f t="shared" ca="1" si="8"/>
        <v/>
      </c>
      <c r="G58" s="49"/>
    </row>
    <row r="59" spans="2:7" ht="15.65" customHeight="1" x14ac:dyDescent="0.25">
      <c r="B59" s="46"/>
      <c r="C59" s="606" t="s">
        <v>383</v>
      </c>
      <c r="D59" s="578" t="str">
        <f t="shared" ca="1" si="6"/>
        <v/>
      </c>
      <c r="E59" s="733" t="str">
        <f t="shared" ca="1" si="7"/>
        <v/>
      </c>
      <c r="F59" s="602" t="str">
        <f t="shared" ca="1" si="8"/>
        <v/>
      </c>
      <c r="G59" s="49"/>
    </row>
    <row r="60" spans="2:7" ht="13" x14ac:dyDescent="0.25">
      <c r="B60" s="46"/>
      <c r="C60" s="606" t="s">
        <v>382</v>
      </c>
      <c r="D60" s="578" t="str">
        <f t="shared" ca="1" si="6"/>
        <v/>
      </c>
      <c r="E60" s="731" t="str">
        <f t="shared" ca="1" si="7"/>
        <v/>
      </c>
      <c r="F60" s="602" t="str">
        <f t="shared" ca="1" si="8"/>
        <v/>
      </c>
      <c r="G60" s="49"/>
    </row>
    <row r="61" spans="2:7" ht="13" x14ac:dyDescent="0.25">
      <c r="B61" s="46"/>
      <c r="C61" s="606" t="s">
        <v>384</v>
      </c>
      <c r="D61" s="578" t="str">
        <f t="shared" ca="1" si="6"/>
        <v/>
      </c>
      <c r="E61" s="731" t="str">
        <f t="shared" ca="1" si="7"/>
        <v/>
      </c>
      <c r="F61" s="602" t="str">
        <f t="shared" ca="1" si="8"/>
        <v/>
      </c>
      <c r="G61" s="49"/>
    </row>
    <row r="62" spans="2:7" x14ac:dyDescent="0.25">
      <c r="B62" s="46"/>
      <c r="C62" s="63"/>
      <c r="D62" s="578" t="str">
        <f t="shared" ca="1" si="6"/>
        <v/>
      </c>
      <c r="E62" s="85" t="str">
        <f t="shared" ca="1" si="7"/>
        <v/>
      </c>
      <c r="F62" s="602" t="str">
        <f t="shared" ca="1" si="8"/>
        <v/>
      </c>
      <c r="G62" s="49"/>
    </row>
    <row r="63" spans="2:7" ht="13" x14ac:dyDescent="0.25">
      <c r="B63" s="46"/>
      <c r="C63" s="86" t="s">
        <v>386</v>
      </c>
      <c r="D63" s="579" t="str">
        <f ca="1">IFERROR(IF($C63&lt;&gt;"",VLOOKUP($C63,INDIRECT($L$5),2,FALSE),""),"")</f>
        <v/>
      </c>
      <c r="E63" s="732" t="str">
        <f ca="1">IFERROR(IF($C63&lt;&gt;"",VLOOKUP($C63,INDIRECT($L$5),3,FALSE),""),"")</f>
        <v/>
      </c>
      <c r="F63" s="603" t="str">
        <f ca="1">IFERROR(IF($C63&lt;&gt;"",VLOOKUP($C63,INDIRECT($L$5),4,FALSE),""),"")</f>
        <v/>
      </c>
      <c r="G63" s="49"/>
    </row>
    <row r="64" spans="2:7" ht="13" x14ac:dyDescent="0.25">
      <c r="B64" s="53"/>
      <c r="C64" s="89" t="s">
        <v>388</v>
      </c>
      <c r="D64" s="582" t="str">
        <f ca="1">IFERROR(IF($C64&lt;&gt;"",VLOOKUP($C64,INDIRECT($L$5),2,FALSE),""),"")</f>
        <v/>
      </c>
      <c r="E64" s="734" t="str">
        <f ca="1">IFERROR(IF($C64&lt;&gt;"",VLOOKUP($C64,INDIRECT($L$5),3,FALSE),""),"")</f>
        <v/>
      </c>
      <c r="F64" s="604" t="str">
        <f ca="1">IFERROR(IF($C64&lt;&gt;"",VLOOKUP($C64,INDIRECT($L$5),4,FALSE),""),"")</f>
        <v/>
      </c>
      <c r="G64" s="55"/>
    </row>
    <row r="65" spans="2:7" ht="15.5" x14ac:dyDescent="0.25">
      <c r="B65" s="43"/>
      <c r="C65" s="43"/>
      <c r="D65" s="43"/>
      <c r="E65" s="43"/>
      <c r="F65" s="43"/>
      <c r="G65" s="43"/>
    </row>
    <row r="66" spans="2:7" x14ac:dyDescent="0.25">
      <c r="B66" s="115"/>
      <c r="C66" s="116"/>
      <c r="D66" s="116"/>
      <c r="E66" s="116"/>
      <c r="F66" s="116"/>
      <c r="G66" s="117"/>
    </row>
    <row r="67" spans="2:7" ht="15.5" x14ac:dyDescent="0.25">
      <c r="B67" s="118"/>
      <c r="C67" s="119" t="s">
        <v>756</v>
      </c>
      <c r="D67" s="114"/>
      <c r="E67" s="114"/>
      <c r="F67" s="114"/>
      <c r="G67" s="120"/>
    </row>
    <row r="68" spans="2:7" ht="15.5" x14ac:dyDescent="0.25">
      <c r="B68" s="179"/>
      <c r="C68" s="180"/>
      <c r="D68" s="182"/>
      <c r="E68" s="791" t="s">
        <v>754</v>
      </c>
      <c r="F68" s="182"/>
      <c r="G68" s="183"/>
    </row>
    <row r="69" spans="2:7" x14ac:dyDescent="0.25">
      <c r="B69" s="46"/>
      <c r="C69" s="47"/>
      <c r="D69" s="47"/>
      <c r="E69" s="47"/>
      <c r="F69" s="47"/>
      <c r="G69" s="212"/>
    </row>
    <row r="70" spans="2:7" ht="15.5" x14ac:dyDescent="0.25">
      <c r="B70" s="46"/>
      <c r="C70" s="605" t="s">
        <v>389</v>
      </c>
      <c r="D70" s="879"/>
      <c r="E70" s="730" t="str">
        <f t="shared" ref="E70:E80" ca="1" si="9">IFERROR(IF($C70&lt;&gt;"",VLOOKUP($C70,INDIRECT($L$5),3,FALSE),""),"")</f>
        <v/>
      </c>
      <c r="F70" s="601" t="str">
        <f t="shared" ref="F70:F80" ca="1" si="10">IFERROR(IF($C70&lt;&gt;"",VLOOKUP($C70,INDIRECT($L$5),4,FALSE),""),"")</f>
        <v/>
      </c>
      <c r="G70" s="49"/>
    </row>
    <row r="71" spans="2:7" ht="15.5" x14ac:dyDescent="0.25">
      <c r="B71" s="46"/>
      <c r="C71" s="606" t="s">
        <v>390</v>
      </c>
      <c r="D71" s="880"/>
      <c r="E71" s="731" t="str">
        <f t="shared" ca="1" si="9"/>
        <v/>
      </c>
      <c r="F71" s="602" t="str">
        <f t="shared" ca="1" si="10"/>
        <v/>
      </c>
      <c r="G71" s="49"/>
    </row>
    <row r="72" spans="2:7" ht="15.5" x14ac:dyDescent="0.25">
      <c r="B72" s="46"/>
      <c r="C72" s="606"/>
      <c r="D72" s="880"/>
      <c r="E72" s="731"/>
      <c r="F72" s="602"/>
      <c r="G72" s="49"/>
    </row>
    <row r="73" spans="2:7" ht="15.5" x14ac:dyDescent="0.25">
      <c r="B73" s="46"/>
      <c r="C73" s="86" t="s">
        <v>391</v>
      </c>
      <c r="D73" s="932"/>
      <c r="E73" s="933" t="str">
        <f ca="1">IFERROR(IF($C73&lt;&gt;"",VLOOKUP($C73,INDIRECT($L$5),3,FALSE),""),"")</f>
        <v/>
      </c>
      <c r="F73" s="934" t="str">
        <f ca="1">IFERROR(IF($C73&lt;&gt;"",VLOOKUP($C73,INDIRECT($L$5),4,FALSE),""),"")</f>
        <v/>
      </c>
      <c r="G73" s="49"/>
    </row>
    <row r="74" spans="2:7" ht="15.5" x14ac:dyDescent="0.25">
      <c r="B74" s="46"/>
      <c r="C74" s="86" t="s">
        <v>392</v>
      </c>
      <c r="D74" s="880"/>
      <c r="E74" s="878" t="str">
        <f ca="1">IFERROR(IF($C74&lt;&gt;"",VLOOKUP($C74,INDIRECT($L$5),3,FALSE),""),"")</f>
        <v/>
      </c>
      <c r="F74" s="602" t="str">
        <f ca="1">IFERROR(IF($C74&lt;&gt;"",VLOOKUP($C74,INDIRECT($L$5),4,FALSE),""),"")</f>
        <v/>
      </c>
      <c r="G74" s="49"/>
    </row>
    <row r="75" spans="2:7" ht="15.5" x14ac:dyDescent="0.25">
      <c r="B75" s="46"/>
      <c r="C75" s="86"/>
      <c r="D75" s="882"/>
      <c r="E75" s="878"/>
      <c r="F75" s="931"/>
      <c r="G75" s="49"/>
    </row>
    <row r="76" spans="2:7" ht="15.5" x14ac:dyDescent="0.25">
      <c r="B76" s="46"/>
      <c r="C76" s="86" t="s">
        <v>395</v>
      </c>
      <c r="D76" s="880"/>
      <c r="E76" s="930" t="str">
        <f t="shared" ca="1" si="9"/>
        <v/>
      </c>
      <c r="F76" s="602" t="str">
        <f t="shared" ca="1" si="10"/>
        <v/>
      </c>
      <c r="G76" s="49"/>
    </row>
    <row r="77" spans="2:7" ht="15.5" x14ac:dyDescent="0.25">
      <c r="B77" s="46"/>
      <c r="C77" s="86" t="s">
        <v>397</v>
      </c>
      <c r="D77" s="880"/>
      <c r="E77" s="878" t="str">
        <f t="shared" ca="1" si="9"/>
        <v/>
      </c>
      <c r="F77" s="602" t="str">
        <f t="shared" ca="1" si="10"/>
        <v/>
      </c>
      <c r="G77" s="49"/>
    </row>
    <row r="78" spans="2:7" ht="15.5" x14ac:dyDescent="0.25">
      <c r="B78" s="46"/>
      <c r="C78" s="86"/>
      <c r="D78" s="880"/>
      <c r="E78" s="883"/>
      <c r="F78" s="884"/>
      <c r="G78" s="49"/>
    </row>
    <row r="79" spans="2:7" ht="15.5" x14ac:dyDescent="0.25">
      <c r="B79" s="46"/>
      <c r="C79" s="156" t="s">
        <v>399</v>
      </c>
      <c r="D79" s="932"/>
      <c r="E79" s="878" t="str">
        <f t="shared" ca="1" si="9"/>
        <v/>
      </c>
      <c r="F79" s="602" t="str">
        <f t="shared" ca="1" si="10"/>
        <v/>
      </c>
      <c r="G79" s="49"/>
    </row>
    <row r="80" spans="2:7" ht="15.5" x14ac:dyDescent="0.25">
      <c r="B80" s="53"/>
      <c r="C80" s="89" t="s">
        <v>400</v>
      </c>
      <c r="D80" s="881"/>
      <c r="E80" s="734" t="str">
        <f t="shared" ca="1" si="9"/>
        <v/>
      </c>
      <c r="F80" s="894" t="str">
        <f t="shared" ca="1" si="10"/>
        <v/>
      </c>
      <c r="G80" s="55"/>
    </row>
    <row r="81" spans="2:7" ht="15.5" x14ac:dyDescent="0.25">
      <c r="B81" s="43"/>
      <c r="C81" s="43"/>
      <c r="D81" s="164"/>
      <c r="E81" s="164"/>
      <c r="F81" s="164"/>
      <c r="G81" s="43"/>
    </row>
    <row r="82" spans="2:7" customFormat="1" x14ac:dyDescent="0.25">
      <c r="B82" s="187"/>
      <c r="C82" s="188"/>
      <c r="D82" s="188"/>
      <c r="E82" s="255"/>
      <c r="F82" s="188"/>
      <c r="G82" s="189"/>
    </row>
    <row r="83" spans="2:7" customFormat="1" ht="15.5" x14ac:dyDescent="0.35">
      <c r="B83" s="190"/>
      <c r="C83" s="254" t="s">
        <v>757</v>
      </c>
      <c r="D83" s="234"/>
      <c r="E83" s="256"/>
      <c r="F83" s="234"/>
      <c r="G83" s="191"/>
    </row>
    <row r="84" spans="2:7" customFormat="1" ht="15.5" x14ac:dyDescent="0.25">
      <c r="B84" s="192"/>
      <c r="C84" s="193"/>
      <c r="D84" s="193"/>
      <c r="E84" s="791" t="s">
        <v>758</v>
      </c>
      <c r="F84" s="193"/>
      <c r="G84" s="194"/>
    </row>
    <row r="85" spans="2:7" customFormat="1" x14ac:dyDescent="0.25">
      <c r="B85" s="36"/>
      <c r="C85" s="37"/>
      <c r="D85" s="37"/>
      <c r="E85" s="37"/>
      <c r="F85" s="37"/>
      <c r="G85" s="38"/>
    </row>
    <row r="86" spans="2:7" customFormat="1" ht="13" x14ac:dyDescent="0.3">
      <c r="B86" s="36"/>
      <c r="C86" s="264" t="s">
        <v>414</v>
      </c>
      <c r="D86" s="244" t="str">
        <f t="shared" ref="D86:D98" ca="1" si="11">IFERROR(IF($C86&lt;&gt;"",VLOOKUP($C86,INDIRECT($L$5),2,FALSE),""),"")</f>
        <v/>
      </c>
      <c r="E86" s="727" t="str">
        <f t="shared" ref="E86:E98" ca="1" si="12">IFERROR(IF($C86&lt;&gt;"",VLOOKUP($C86,INDIRECT($L$5),3,FALSE),""),"")</f>
        <v/>
      </c>
      <c r="F86" s="598" t="str">
        <f t="shared" ref="F86:F98" ca="1" si="13">IFERROR(IF($C86&lt;&gt;"",VLOOKUP($C86,INDIRECT($L$5),4,FALSE),""),"")</f>
        <v/>
      </c>
      <c r="G86" s="38"/>
    </row>
    <row r="87" spans="2:7" customFormat="1" ht="13" x14ac:dyDescent="0.3">
      <c r="B87" s="36"/>
      <c r="C87" s="264" t="s">
        <v>416</v>
      </c>
      <c r="D87" s="246" t="str">
        <f t="shared" ca="1" si="11"/>
        <v/>
      </c>
      <c r="E87" s="737" t="str">
        <f t="shared" ca="1" si="12"/>
        <v/>
      </c>
      <c r="F87" s="599" t="str">
        <f t="shared" ca="1" si="13"/>
        <v/>
      </c>
      <c r="G87" s="38"/>
    </row>
    <row r="88" spans="2:7" customFormat="1" ht="13" x14ac:dyDescent="0.3">
      <c r="B88" s="36"/>
      <c r="C88" s="264"/>
      <c r="D88" s="246" t="str">
        <f t="shared" ca="1" si="11"/>
        <v/>
      </c>
      <c r="E88" s="41" t="str">
        <f t="shared" ca="1" si="12"/>
        <v/>
      </c>
      <c r="F88" s="247" t="str">
        <f t="shared" ca="1" si="13"/>
        <v/>
      </c>
      <c r="G88" s="38"/>
    </row>
    <row r="89" spans="2:7" customFormat="1" ht="13" x14ac:dyDescent="0.3">
      <c r="B89" s="36"/>
      <c r="C89" s="264" t="s">
        <v>414</v>
      </c>
      <c r="D89" s="246" t="str">
        <f t="shared" ca="1" si="11"/>
        <v/>
      </c>
      <c r="E89" s="729" t="str">
        <f t="shared" ca="1" si="12"/>
        <v/>
      </c>
      <c r="F89" s="599" t="str">
        <f t="shared" ca="1" si="13"/>
        <v/>
      </c>
      <c r="G89" s="38"/>
    </row>
    <row r="90" spans="2:7" customFormat="1" ht="13" x14ac:dyDescent="0.3">
      <c r="B90" s="36"/>
      <c r="C90" s="264" t="s">
        <v>98</v>
      </c>
      <c r="D90" s="246" t="str">
        <f t="shared" ca="1" si="11"/>
        <v/>
      </c>
      <c r="E90" s="729" t="str">
        <f t="shared" ca="1" si="12"/>
        <v/>
      </c>
      <c r="F90" s="599" t="str">
        <f t="shared" ca="1" si="13"/>
        <v/>
      </c>
      <c r="G90" s="38"/>
    </row>
    <row r="91" spans="2:7" customFormat="1" ht="13" x14ac:dyDescent="0.3">
      <c r="B91" s="36"/>
      <c r="C91" s="264" t="s">
        <v>99</v>
      </c>
      <c r="D91" s="246" t="str">
        <f t="shared" ca="1" si="11"/>
        <v/>
      </c>
      <c r="E91" s="729" t="str">
        <f t="shared" ca="1" si="12"/>
        <v/>
      </c>
      <c r="F91" s="247" t="str">
        <f t="shared" ca="1" si="13"/>
        <v/>
      </c>
      <c r="G91" s="38"/>
    </row>
    <row r="92" spans="2:7" customFormat="1" ht="13" x14ac:dyDescent="0.3">
      <c r="B92" s="36"/>
      <c r="C92" s="264" t="s">
        <v>100</v>
      </c>
      <c r="D92" s="246" t="str">
        <f t="shared" ca="1" si="11"/>
        <v/>
      </c>
      <c r="E92" s="729" t="str">
        <f t="shared" ca="1" si="12"/>
        <v/>
      </c>
      <c r="F92" s="599" t="str">
        <f t="shared" ca="1" si="13"/>
        <v/>
      </c>
      <c r="G92" s="38"/>
    </row>
    <row r="93" spans="2:7" customFormat="1" ht="13" x14ac:dyDescent="0.3">
      <c r="B93" s="36"/>
      <c r="C93" s="264" t="s">
        <v>101</v>
      </c>
      <c r="D93" s="246" t="str">
        <f t="shared" ca="1" si="11"/>
        <v/>
      </c>
      <c r="E93" s="729" t="str">
        <f t="shared" ca="1" si="12"/>
        <v/>
      </c>
      <c r="F93" s="247" t="str">
        <f t="shared" ca="1" si="13"/>
        <v/>
      </c>
      <c r="G93" s="38"/>
    </row>
    <row r="94" spans="2:7" customFormat="1" ht="13" x14ac:dyDescent="0.3">
      <c r="B94" s="36"/>
      <c r="C94" s="264" t="s">
        <v>418</v>
      </c>
      <c r="D94" s="246" t="str">
        <f t="shared" ca="1" si="11"/>
        <v/>
      </c>
      <c r="E94" s="729" t="str">
        <f t="shared" ca="1" si="12"/>
        <v/>
      </c>
      <c r="F94" s="599" t="str">
        <f t="shared" ca="1" si="13"/>
        <v/>
      </c>
      <c r="G94" s="38"/>
    </row>
    <row r="95" spans="2:7" customFormat="1" ht="13" x14ac:dyDescent="0.3">
      <c r="B95" s="36"/>
      <c r="C95" s="264" t="s">
        <v>419</v>
      </c>
      <c r="D95" s="246" t="str">
        <f t="shared" ca="1" si="11"/>
        <v/>
      </c>
      <c r="E95" s="227" t="str">
        <f t="shared" ca="1" si="12"/>
        <v/>
      </c>
      <c r="F95" s="599" t="str">
        <f t="shared" ca="1" si="13"/>
        <v/>
      </c>
      <c r="G95" s="38"/>
    </row>
    <row r="96" spans="2:7" customFormat="1" ht="13" x14ac:dyDescent="0.3">
      <c r="B96" s="36"/>
      <c r="C96" s="264"/>
      <c r="D96" s="246" t="str">
        <f t="shared" ca="1" si="11"/>
        <v/>
      </c>
      <c r="E96" s="41" t="str">
        <f t="shared" ca="1" si="12"/>
        <v/>
      </c>
      <c r="F96" s="247" t="str">
        <f t="shared" ca="1" si="13"/>
        <v/>
      </c>
      <c r="G96" s="38"/>
    </row>
    <row r="97" spans="2:12" customFormat="1" ht="13" x14ac:dyDescent="0.3">
      <c r="B97" s="36"/>
      <c r="C97" s="264" t="s">
        <v>420</v>
      </c>
      <c r="D97" s="246" t="str">
        <f t="shared" ca="1" si="11"/>
        <v/>
      </c>
      <c r="E97" s="728" t="str">
        <f t="shared" ca="1" si="12"/>
        <v/>
      </c>
      <c r="F97" s="599" t="str">
        <f t="shared" ca="1" si="13"/>
        <v/>
      </c>
      <c r="G97" s="38"/>
    </row>
    <row r="98" spans="2:12" customFormat="1" ht="13" x14ac:dyDescent="0.3">
      <c r="B98" s="39"/>
      <c r="C98" s="266" t="s">
        <v>421</v>
      </c>
      <c r="D98" s="248" t="str">
        <f t="shared" ca="1" si="11"/>
        <v/>
      </c>
      <c r="E98" s="736" t="str">
        <f t="shared" ca="1" si="12"/>
        <v/>
      </c>
      <c r="F98" s="600" t="str">
        <f t="shared" ca="1" si="13"/>
        <v/>
      </c>
      <c r="G98" s="40"/>
    </row>
    <row r="99" spans="2:12" customFormat="1" x14ac:dyDescent="0.25">
      <c r="E99" s="227"/>
    </row>
    <row r="100" spans="2:12" customFormat="1" x14ac:dyDescent="0.25">
      <c r="B100" s="187"/>
      <c r="C100" s="188"/>
      <c r="D100" s="188"/>
      <c r="E100" s="255"/>
      <c r="F100" s="188"/>
      <c r="G100" s="189"/>
    </row>
    <row r="101" spans="2:12" customFormat="1" ht="15.5" x14ac:dyDescent="0.35">
      <c r="B101" s="190"/>
      <c r="C101" s="254" t="s">
        <v>759</v>
      </c>
      <c r="D101" s="234"/>
      <c r="E101" s="256"/>
      <c r="F101" s="234"/>
      <c r="G101" s="191"/>
    </row>
    <row r="102" spans="2:12" customFormat="1" ht="15.5" x14ac:dyDescent="0.25">
      <c r="B102" s="192"/>
      <c r="C102" s="193"/>
      <c r="D102" s="791" t="s">
        <v>198</v>
      </c>
      <c r="E102" s="791" t="s">
        <v>164</v>
      </c>
      <c r="F102" s="797" t="s">
        <v>760</v>
      </c>
      <c r="G102" s="194"/>
    </row>
    <row r="103" spans="2:12" customFormat="1" x14ac:dyDescent="0.25">
      <c r="B103" s="251"/>
      <c r="C103" s="252"/>
      <c r="D103" s="252"/>
      <c r="E103" s="252"/>
      <c r="F103" s="252"/>
      <c r="G103" s="253"/>
    </row>
    <row r="104" spans="2:12" customFormat="1" ht="13" x14ac:dyDescent="0.3">
      <c r="B104" s="36"/>
      <c r="C104" s="264" t="s">
        <v>422</v>
      </c>
      <c r="D104" s="609" t="str">
        <f t="shared" ref="D104:D116" ca="1" si="14">IFERROR(IF($C104&lt;&gt;"",VLOOKUP($C104,INDIRECT($L$5),2,FALSE),""),"")</f>
        <v/>
      </c>
      <c r="E104" s="593" t="str">
        <f t="shared" ref="E104:E116" ca="1" si="15">IFERROR(IF($C104&lt;&gt;"",VLOOKUP($C104,INDIRECT($L$5),3,FALSE),""),"")</f>
        <v/>
      </c>
      <c r="F104" s="610" t="str">
        <f t="shared" ref="F104:F116" ca="1" si="16">IFERROR(IF($C104&lt;&gt;"",VLOOKUP($C104,INDIRECT($L$5),4,FALSE),""),"")</f>
        <v/>
      </c>
      <c r="G104" s="38"/>
    </row>
    <row r="105" spans="2:12" customFormat="1" ht="13" x14ac:dyDescent="0.3">
      <c r="B105" s="36"/>
      <c r="C105" s="588" t="s">
        <v>423</v>
      </c>
      <c r="D105" s="595" t="str">
        <f t="shared" ca="1" si="14"/>
        <v/>
      </c>
      <c r="E105" s="718" t="str">
        <f t="shared" ca="1" si="15"/>
        <v/>
      </c>
      <c r="F105" s="720" t="str">
        <f t="shared" ca="1" si="16"/>
        <v/>
      </c>
      <c r="G105" s="38"/>
    </row>
    <row r="106" spans="2:12" customFormat="1" ht="13" x14ac:dyDescent="0.3">
      <c r="B106" s="36"/>
      <c r="C106" s="588" t="s">
        <v>424</v>
      </c>
      <c r="D106" s="595" t="str">
        <f t="shared" ca="1" si="14"/>
        <v/>
      </c>
      <c r="E106" s="718" t="str">
        <f t="shared" ca="1" si="15"/>
        <v/>
      </c>
      <c r="F106" s="720" t="str">
        <f t="shared" ca="1" si="16"/>
        <v/>
      </c>
      <c r="G106" s="38"/>
    </row>
    <row r="107" spans="2:12" customFormat="1" ht="13" x14ac:dyDescent="0.3">
      <c r="B107" s="36"/>
      <c r="C107" s="588" t="s">
        <v>425</v>
      </c>
      <c r="D107" s="595" t="str">
        <f t="shared" ca="1" si="14"/>
        <v/>
      </c>
      <c r="E107" s="718" t="str">
        <f t="shared" ca="1" si="15"/>
        <v/>
      </c>
      <c r="F107" s="720" t="str">
        <f t="shared" ca="1" si="16"/>
        <v/>
      </c>
      <c r="G107" s="38"/>
      <c r="L107" s="228"/>
    </row>
    <row r="108" spans="2:12" customFormat="1" ht="13" x14ac:dyDescent="0.3">
      <c r="B108" s="36"/>
      <c r="C108" s="588" t="s">
        <v>426</v>
      </c>
      <c r="D108" s="595" t="str">
        <f t="shared" ca="1" si="14"/>
        <v/>
      </c>
      <c r="E108" s="718" t="str">
        <f t="shared" ca="1" si="15"/>
        <v/>
      </c>
      <c r="F108" s="720" t="str">
        <f t="shared" ca="1" si="16"/>
        <v/>
      </c>
      <c r="G108" s="38"/>
      <c r="L108" s="228"/>
    </row>
    <row r="109" spans="2:12" customFormat="1" ht="13" x14ac:dyDescent="0.3">
      <c r="B109" s="36"/>
      <c r="C109" s="264" t="s">
        <v>427</v>
      </c>
      <c r="D109" s="595" t="str">
        <f t="shared" ca="1" si="14"/>
        <v/>
      </c>
      <c r="E109" s="718" t="str">
        <f t="shared" ca="1" si="15"/>
        <v/>
      </c>
      <c r="F109" s="720" t="str">
        <f t="shared" ca="1" si="16"/>
        <v/>
      </c>
      <c r="G109" s="38"/>
    </row>
    <row r="110" spans="2:12" customFormat="1" ht="13" x14ac:dyDescent="0.3">
      <c r="B110" s="36"/>
      <c r="C110" s="588" t="s">
        <v>428</v>
      </c>
      <c r="D110" s="595" t="str">
        <f t="shared" ca="1" si="14"/>
        <v/>
      </c>
      <c r="E110" s="718" t="str">
        <f t="shared" ca="1" si="15"/>
        <v/>
      </c>
      <c r="F110" s="720" t="str">
        <f t="shared" ca="1" si="16"/>
        <v/>
      </c>
      <c r="G110" s="38"/>
    </row>
    <row r="111" spans="2:12" customFormat="1" ht="13" x14ac:dyDescent="0.3">
      <c r="B111" s="36"/>
      <c r="C111" s="588" t="s">
        <v>429</v>
      </c>
      <c r="D111" s="595" t="str">
        <f t="shared" ca="1" si="14"/>
        <v/>
      </c>
      <c r="E111" s="718" t="str">
        <f t="shared" ca="1" si="15"/>
        <v/>
      </c>
      <c r="F111" s="720" t="str">
        <f t="shared" ca="1" si="16"/>
        <v/>
      </c>
      <c r="G111" s="38"/>
    </row>
    <row r="112" spans="2:12" customFormat="1" ht="13" x14ac:dyDescent="0.3">
      <c r="B112" s="36"/>
      <c r="C112" s="588" t="s">
        <v>430</v>
      </c>
      <c r="D112" s="595" t="str">
        <f t="shared" ca="1" si="14"/>
        <v/>
      </c>
      <c r="E112" s="718" t="str">
        <f t="shared" ca="1" si="15"/>
        <v/>
      </c>
      <c r="F112" s="720" t="str">
        <f t="shared" ca="1" si="16"/>
        <v/>
      </c>
      <c r="G112" s="38"/>
    </row>
    <row r="113" spans="2:7" customFormat="1" ht="13" x14ac:dyDescent="0.3">
      <c r="B113" s="36"/>
      <c r="C113" s="264" t="s">
        <v>761</v>
      </c>
      <c r="D113" s="595" t="str">
        <f t="shared" ca="1" si="14"/>
        <v/>
      </c>
      <c r="E113" s="718" t="str">
        <f t="shared" ca="1" si="15"/>
        <v/>
      </c>
      <c r="F113" s="720" t="str">
        <f t="shared" ca="1" si="16"/>
        <v/>
      </c>
      <c r="G113" s="38"/>
    </row>
    <row r="114" spans="2:7" customFormat="1" ht="13" x14ac:dyDescent="0.3">
      <c r="B114" s="36"/>
      <c r="C114" s="588" t="s">
        <v>431</v>
      </c>
      <c r="D114" s="595" t="str">
        <f t="shared" ca="1" si="14"/>
        <v/>
      </c>
      <c r="E114" s="718" t="str">
        <f t="shared" ca="1" si="15"/>
        <v/>
      </c>
      <c r="F114" s="720" t="str">
        <f t="shared" ca="1" si="16"/>
        <v/>
      </c>
      <c r="G114" s="38"/>
    </row>
    <row r="115" spans="2:7" customFormat="1" ht="13" x14ac:dyDescent="0.3">
      <c r="B115" s="36"/>
      <c r="C115" s="588" t="s">
        <v>432</v>
      </c>
      <c r="D115" s="595" t="str">
        <f t="shared" ca="1" si="14"/>
        <v/>
      </c>
      <c r="E115" s="718" t="str">
        <f t="shared" ca="1" si="15"/>
        <v/>
      </c>
      <c r="F115" s="720" t="str">
        <f t="shared" ca="1" si="16"/>
        <v/>
      </c>
      <c r="G115" s="38"/>
    </row>
    <row r="116" spans="2:7" customFormat="1" ht="13" x14ac:dyDescent="0.3">
      <c r="B116" s="39"/>
      <c r="C116" s="589" t="s">
        <v>433</v>
      </c>
      <c r="D116" s="596" t="str">
        <f t="shared" ca="1" si="14"/>
        <v/>
      </c>
      <c r="E116" s="722" t="str">
        <f t="shared" ca="1" si="15"/>
        <v/>
      </c>
      <c r="F116" s="723" t="str">
        <f t="shared" ca="1" si="16"/>
        <v/>
      </c>
      <c r="G116" s="40"/>
    </row>
    <row r="117" spans="2:7" customFormat="1" x14ac:dyDescent="0.25"/>
    <row r="118" spans="2:7" customFormat="1" x14ac:dyDescent="0.25">
      <c r="B118" s="187"/>
      <c r="C118" s="188"/>
      <c r="D118" s="188"/>
      <c r="E118" s="188"/>
      <c r="F118" s="188"/>
      <c r="G118" s="189"/>
    </row>
    <row r="119" spans="2:7" customFormat="1" ht="12.75" customHeight="1" x14ac:dyDescent="0.35">
      <c r="B119" s="190"/>
      <c r="C119" s="254" t="s">
        <v>762</v>
      </c>
      <c r="D119" s="234"/>
      <c r="E119" s="234"/>
      <c r="F119" s="234"/>
      <c r="G119" s="191"/>
    </row>
    <row r="120" spans="2:7" customFormat="1" ht="15.5" x14ac:dyDescent="0.35">
      <c r="B120" s="192"/>
      <c r="C120" s="193"/>
      <c r="D120" s="792" t="s">
        <v>243</v>
      </c>
      <c r="E120" s="792" t="s">
        <v>164</v>
      </c>
      <c r="F120" s="796" t="s">
        <v>760</v>
      </c>
      <c r="G120" s="257"/>
    </row>
    <row r="121" spans="2:7" customFormat="1" x14ac:dyDescent="0.25">
      <c r="B121" s="251"/>
      <c r="C121" s="252"/>
      <c r="D121" s="252"/>
      <c r="E121" s="252"/>
      <c r="F121" s="252"/>
      <c r="G121" s="253"/>
    </row>
    <row r="122" spans="2:7" customFormat="1" ht="13" x14ac:dyDescent="0.3">
      <c r="B122" s="36"/>
      <c r="C122" s="264" t="s">
        <v>166</v>
      </c>
      <c r="D122" s="609" t="str">
        <f t="shared" ref="D122:D133" ca="1" si="17">IFERROR(IF($C122&lt;&gt;"",VLOOKUP($C122,INDIRECT($L$5),2,FALSE),""),"")</f>
        <v/>
      </c>
      <c r="E122" s="721" t="str">
        <f t="shared" ref="E122:E133" ca="1" si="18">IFERROR(IF($C122&lt;&gt;"",VLOOKUP($C122,INDIRECT($L$5),3,FALSE),""),"")</f>
        <v/>
      </c>
      <c r="F122" s="719" t="str">
        <f t="shared" ref="F122:F133" ca="1" si="19">IFERROR(IF($C122&lt;&gt;"",VLOOKUP($C122,INDIRECT($L$5),4,FALSE),""),"")</f>
        <v/>
      </c>
      <c r="G122" s="38"/>
    </row>
    <row r="123" spans="2:7" customFormat="1" ht="13" x14ac:dyDescent="0.3">
      <c r="B123" s="36"/>
      <c r="C123" s="587" t="s">
        <v>434</v>
      </c>
      <c r="D123" s="595" t="str">
        <f t="shared" ca="1" si="17"/>
        <v/>
      </c>
      <c r="E123" s="724" t="str">
        <f t="shared" ca="1" si="18"/>
        <v/>
      </c>
      <c r="F123" s="720" t="str">
        <f t="shared" ca="1" si="19"/>
        <v/>
      </c>
      <c r="G123" s="38"/>
    </row>
    <row r="124" spans="2:7" customFormat="1" x14ac:dyDescent="0.25">
      <c r="B124" s="36"/>
      <c r="C124" s="42"/>
      <c r="D124" s="595" t="str">
        <f t="shared" ca="1" si="17"/>
        <v/>
      </c>
      <c r="E124" s="725" t="str">
        <f t="shared" ca="1" si="18"/>
        <v/>
      </c>
      <c r="F124" s="720" t="str">
        <f t="shared" ca="1" si="19"/>
        <v/>
      </c>
      <c r="G124" s="38"/>
    </row>
    <row r="125" spans="2:7" customFormat="1" ht="13" x14ac:dyDescent="0.3">
      <c r="B125" s="36"/>
      <c r="C125" s="265" t="s">
        <v>172</v>
      </c>
      <c r="D125" s="595" t="str">
        <f t="shared" ca="1" si="17"/>
        <v/>
      </c>
      <c r="E125" s="725" t="str">
        <f t="shared" ca="1" si="18"/>
        <v/>
      </c>
      <c r="F125" s="720" t="str">
        <f t="shared" ca="1" si="19"/>
        <v/>
      </c>
      <c r="G125" s="38"/>
    </row>
    <row r="126" spans="2:7" customFormat="1" ht="13" x14ac:dyDescent="0.3">
      <c r="B126" s="36"/>
      <c r="C126" s="587" t="s">
        <v>435</v>
      </c>
      <c r="D126" s="595" t="str">
        <f t="shared" ca="1" si="17"/>
        <v/>
      </c>
      <c r="E126" s="718" t="str">
        <f t="shared" ca="1" si="18"/>
        <v/>
      </c>
      <c r="F126" s="720" t="str">
        <f t="shared" ca="1" si="19"/>
        <v/>
      </c>
      <c r="G126" s="38"/>
    </row>
    <row r="127" spans="2:7" customFormat="1" x14ac:dyDescent="0.25">
      <c r="B127" s="36"/>
      <c r="C127" s="42"/>
      <c r="D127" s="595" t="str">
        <f t="shared" ca="1" si="17"/>
        <v/>
      </c>
      <c r="E127" s="725" t="str">
        <f t="shared" ca="1" si="18"/>
        <v/>
      </c>
      <c r="F127" s="720" t="str">
        <f t="shared" ca="1" si="19"/>
        <v/>
      </c>
      <c r="G127" s="38"/>
    </row>
    <row r="128" spans="2:7" customFormat="1" ht="13" x14ac:dyDescent="0.3">
      <c r="B128" s="36"/>
      <c r="C128" s="265" t="s">
        <v>763</v>
      </c>
      <c r="D128" s="595" t="str">
        <f t="shared" ca="1" si="17"/>
        <v/>
      </c>
      <c r="E128" s="718" t="str">
        <f t="shared" ca="1" si="18"/>
        <v/>
      </c>
      <c r="F128" s="720" t="str">
        <f t="shared" ca="1" si="19"/>
        <v/>
      </c>
      <c r="G128" s="38"/>
    </row>
    <row r="129" spans="2:7" customFormat="1" ht="13" x14ac:dyDescent="0.3">
      <c r="B129" s="36"/>
      <c r="C129" s="584" t="s">
        <v>436</v>
      </c>
      <c r="D129" s="595" t="str">
        <f t="shared" ca="1" si="17"/>
        <v/>
      </c>
      <c r="E129" s="718" t="str">
        <f t="shared" ca="1" si="18"/>
        <v/>
      </c>
      <c r="F129" s="720" t="str">
        <f t="shared" ca="1" si="19"/>
        <v/>
      </c>
      <c r="G129" s="38"/>
    </row>
    <row r="130" spans="2:7" customFormat="1" ht="13" x14ac:dyDescent="0.3">
      <c r="B130" s="36"/>
      <c r="C130" s="585" t="s">
        <v>437</v>
      </c>
      <c r="D130" s="595" t="str">
        <f t="shared" ca="1" si="17"/>
        <v/>
      </c>
      <c r="E130" s="725" t="str">
        <f t="shared" ca="1" si="18"/>
        <v/>
      </c>
      <c r="F130" s="720" t="str">
        <f t="shared" ca="1" si="19"/>
        <v/>
      </c>
      <c r="G130" s="38"/>
    </row>
    <row r="131" spans="2:7" customFormat="1" ht="13" x14ac:dyDescent="0.3">
      <c r="B131" s="36"/>
      <c r="C131" s="585" t="s">
        <v>438</v>
      </c>
      <c r="D131" s="595" t="str">
        <f t="shared" ca="1" si="17"/>
        <v/>
      </c>
      <c r="E131" s="725" t="str">
        <f t="shared" ca="1" si="18"/>
        <v/>
      </c>
      <c r="F131" s="720" t="str">
        <f t="shared" ca="1" si="19"/>
        <v/>
      </c>
      <c r="G131" s="38"/>
    </row>
    <row r="132" spans="2:7" customFormat="1" ht="13" x14ac:dyDescent="0.3">
      <c r="B132" s="36"/>
      <c r="C132" s="585" t="s">
        <v>439</v>
      </c>
      <c r="D132" s="595" t="str">
        <f t="shared" ca="1" si="17"/>
        <v/>
      </c>
      <c r="E132" s="725" t="str">
        <f t="shared" ca="1" si="18"/>
        <v/>
      </c>
      <c r="F132" s="720" t="str">
        <f t="shared" ca="1" si="19"/>
        <v/>
      </c>
      <c r="G132" s="38"/>
    </row>
    <row r="133" spans="2:7" customFormat="1" ht="13" x14ac:dyDescent="0.3">
      <c r="B133" s="39"/>
      <c r="C133" s="586" t="s">
        <v>440</v>
      </c>
      <c r="D133" s="596" t="str">
        <f t="shared" ca="1" si="17"/>
        <v/>
      </c>
      <c r="E133" s="722" t="str">
        <f t="shared" ca="1" si="18"/>
        <v/>
      </c>
      <c r="F133" s="723" t="str">
        <f t="shared" ca="1" si="19"/>
        <v/>
      </c>
      <c r="G133" s="40"/>
    </row>
    <row r="134" spans="2:7" customFormat="1" x14ac:dyDescent="0.25">
      <c r="C134" s="235"/>
    </row>
    <row r="135" spans="2:7" customFormat="1" x14ac:dyDescent="0.25">
      <c r="B135" s="187"/>
      <c r="C135" s="258"/>
      <c r="D135" s="188"/>
      <c r="E135" s="188"/>
      <c r="F135" s="188"/>
      <c r="G135" s="189"/>
    </row>
    <row r="136" spans="2:7" customFormat="1" ht="15.5" x14ac:dyDescent="0.35">
      <c r="B136" s="190"/>
      <c r="C136" s="259" t="s">
        <v>764</v>
      </c>
      <c r="D136" s="234"/>
      <c r="E136" s="234"/>
      <c r="F136" s="234"/>
      <c r="G136" s="191"/>
    </row>
    <row r="137" spans="2:7" customFormat="1" x14ac:dyDescent="0.25">
      <c r="B137" s="192"/>
      <c r="C137" s="260"/>
      <c r="D137" s="193"/>
      <c r="E137" s="193"/>
      <c r="F137" s="193"/>
      <c r="G137" s="194"/>
    </row>
    <row r="138" spans="2:7" customFormat="1" x14ac:dyDescent="0.25">
      <c r="B138" s="251"/>
      <c r="C138" s="271"/>
      <c r="D138" s="252"/>
      <c r="E138" s="252"/>
      <c r="F138" s="252"/>
      <c r="G138" s="253"/>
    </row>
    <row r="139" spans="2:7" customFormat="1" ht="13" x14ac:dyDescent="0.3">
      <c r="B139" s="36"/>
      <c r="C139" s="267" t="s">
        <v>178</v>
      </c>
      <c r="D139" s="609" t="str">
        <f t="shared" ref="D139:D152" ca="1" si="20">IFERROR(IF($C139&lt;&gt;"",VLOOKUP($C139,INDIRECT($L$5),2,FALSE),""),"")</f>
        <v/>
      </c>
      <c r="E139" s="593" t="str">
        <f t="shared" ref="E139:E152" ca="1" si="21">IFERROR(IF($C139&lt;&gt;"",VLOOKUP($C139,INDIRECT($L$5),3,FALSE),""),"")</f>
        <v/>
      </c>
      <c r="F139" s="245" t="str">
        <f t="shared" ref="F139:F152" ca="1" si="22">IFERROR(IF($C139&lt;&gt;"",VLOOKUP($C139,INDIRECT($L$5),4,FALSE),""),"")</f>
        <v/>
      </c>
      <c r="G139" s="38"/>
    </row>
    <row r="140" spans="2:7" customFormat="1" ht="13" x14ac:dyDescent="0.3">
      <c r="B140" s="36"/>
      <c r="C140" s="267" t="s">
        <v>179</v>
      </c>
      <c r="D140" s="595" t="str">
        <f t="shared" ca="1" si="20"/>
        <v/>
      </c>
      <c r="E140" s="594" t="str">
        <f t="shared" ca="1" si="21"/>
        <v/>
      </c>
      <c r="F140" s="247" t="str">
        <f t="shared" ca="1" si="22"/>
        <v/>
      </c>
      <c r="G140" s="38"/>
    </row>
    <row r="141" spans="2:7" customFormat="1" ht="13" x14ac:dyDescent="0.3">
      <c r="B141" s="36"/>
      <c r="C141" s="267" t="s">
        <v>180</v>
      </c>
      <c r="D141" s="595" t="str">
        <f t="shared" ca="1" si="20"/>
        <v/>
      </c>
      <c r="E141" s="594" t="str">
        <f t="shared" ca="1" si="21"/>
        <v/>
      </c>
      <c r="F141" s="247" t="str">
        <f t="shared" ca="1" si="22"/>
        <v/>
      </c>
      <c r="G141" s="38"/>
    </row>
    <row r="142" spans="2:7" customFormat="1" ht="13" x14ac:dyDescent="0.3">
      <c r="B142" s="36"/>
      <c r="C142" s="267" t="s">
        <v>441</v>
      </c>
      <c r="D142" s="595" t="str">
        <f t="shared" ca="1" si="20"/>
        <v/>
      </c>
      <c r="E142" s="594" t="str">
        <f t="shared" ca="1" si="21"/>
        <v/>
      </c>
      <c r="F142" s="247" t="str">
        <f t="shared" ca="1" si="22"/>
        <v/>
      </c>
      <c r="G142" s="38"/>
    </row>
    <row r="143" spans="2:7" customFormat="1" ht="13" x14ac:dyDescent="0.3">
      <c r="B143" s="36"/>
      <c r="C143" s="267" t="s">
        <v>442</v>
      </c>
      <c r="D143" s="595" t="str">
        <f t="shared" ca="1" si="20"/>
        <v/>
      </c>
      <c r="E143" s="594" t="str">
        <f t="shared" ca="1" si="21"/>
        <v/>
      </c>
      <c r="F143" s="247" t="str">
        <f t="shared" ca="1" si="22"/>
        <v/>
      </c>
      <c r="G143" s="38"/>
    </row>
    <row r="144" spans="2:7" customFormat="1" ht="13" x14ac:dyDescent="0.3">
      <c r="B144" s="36"/>
      <c r="C144" s="267" t="s">
        <v>443</v>
      </c>
      <c r="D144" s="595" t="str">
        <f t="shared" ca="1" si="20"/>
        <v/>
      </c>
      <c r="E144" s="594" t="str">
        <f t="shared" ca="1" si="21"/>
        <v/>
      </c>
      <c r="F144" s="247" t="str">
        <f t="shared" ca="1" si="22"/>
        <v/>
      </c>
      <c r="G144" s="38"/>
    </row>
    <row r="145" spans="2:7" customFormat="1" ht="13" x14ac:dyDescent="0.3">
      <c r="B145" s="36"/>
      <c r="C145" s="267" t="s">
        <v>444</v>
      </c>
      <c r="D145" s="595" t="str">
        <f t="shared" ca="1" si="20"/>
        <v/>
      </c>
      <c r="E145" s="594" t="str">
        <f t="shared" ca="1" si="21"/>
        <v/>
      </c>
      <c r="F145" s="247" t="str">
        <f t="shared" ca="1" si="22"/>
        <v/>
      </c>
      <c r="G145" s="38"/>
    </row>
    <row r="146" spans="2:7" customFormat="1" ht="13" x14ac:dyDescent="0.3">
      <c r="B146" s="36"/>
      <c r="C146" s="267" t="s">
        <v>445</v>
      </c>
      <c r="D146" s="595" t="str">
        <f t="shared" ca="1" si="20"/>
        <v/>
      </c>
      <c r="E146" s="594" t="str">
        <f t="shared" ca="1" si="21"/>
        <v/>
      </c>
      <c r="F146" s="247" t="str">
        <f t="shared" ca="1" si="22"/>
        <v/>
      </c>
      <c r="G146" s="38"/>
    </row>
    <row r="147" spans="2:7" customFormat="1" ht="13" x14ac:dyDescent="0.3">
      <c r="B147" s="36"/>
      <c r="C147" s="267" t="s">
        <v>446</v>
      </c>
      <c r="D147" s="595" t="str">
        <f t="shared" ca="1" si="20"/>
        <v/>
      </c>
      <c r="E147" s="718" t="str">
        <f t="shared" ca="1" si="21"/>
        <v/>
      </c>
      <c r="F147" s="247" t="str">
        <f t="shared" ca="1" si="22"/>
        <v/>
      </c>
      <c r="G147" s="38"/>
    </row>
    <row r="148" spans="2:7" customFormat="1" ht="13" x14ac:dyDescent="0.3">
      <c r="B148" s="36"/>
      <c r="C148" s="267" t="s">
        <v>447</v>
      </c>
      <c r="D148" s="595" t="str">
        <f t="shared" ca="1" si="20"/>
        <v/>
      </c>
      <c r="E148" s="718" t="str">
        <f t="shared" ca="1" si="21"/>
        <v/>
      </c>
      <c r="F148" s="247" t="str">
        <f t="shared" ca="1" si="22"/>
        <v/>
      </c>
      <c r="G148" s="38"/>
    </row>
    <row r="149" spans="2:7" customFormat="1" ht="13" x14ac:dyDescent="0.3">
      <c r="B149" s="36"/>
      <c r="C149" s="267" t="s">
        <v>448</v>
      </c>
      <c r="D149" s="595" t="str">
        <f t="shared" ca="1" si="20"/>
        <v/>
      </c>
      <c r="E149" s="718" t="str">
        <f t="shared" ca="1" si="21"/>
        <v/>
      </c>
      <c r="F149" s="247" t="str">
        <f t="shared" ca="1" si="22"/>
        <v/>
      </c>
      <c r="G149" s="38"/>
    </row>
    <row r="150" spans="2:7" customFormat="1" ht="13" x14ac:dyDescent="0.3">
      <c r="B150" s="36"/>
      <c r="C150" s="267" t="s">
        <v>449</v>
      </c>
      <c r="D150" s="595" t="str">
        <f t="shared" ca="1" si="20"/>
        <v/>
      </c>
      <c r="E150" s="611" t="str">
        <f t="shared" ca="1" si="21"/>
        <v/>
      </c>
      <c r="F150" s="247" t="str">
        <f t="shared" ca="1" si="22"/>
        <v/>
      </c>
      <c r="G150" s="38"/>
    </row>
    <row r="151" spans="2:7" customFormat="1" ht="13" x14ac:dyDescent="0.3">
      <c r="B151" s="36"/>
      <c r="C151" s="267" t="s">
        <v>450</v>
      </c>
      <c r="D151" s="595" t="str">
        <f t="shared" ca="1" si="20"/>
        <v/>
      </c>
      <c r="E151" s="725" t="str">
        <f t="shared" ca="1" si="21"/>
        <v/>
      </c>
      <c r="F151" s="247" t="str">
        <f t="shared" ca="1" si="22"/>
        <v/>
      </c>
      <c r="G151" s="38"/>
    </row>
    <row r="152" spans="2:7" customFormat="1" ht="13" x14ac:dyDescent="0.3">
      <c r="B152" s="39"/>
      <c r="C152" s="583" t="s">
        <v>63</v>
      </c>
      <c r="D152" s="596" t="str">
        <f t="shared" ca="1" si="20"/>
        <v/>
      </c>
      <c r="E152" s="608" t="str">
        <f t="shared" ca="1" si="21"/>
        <v/>
      </c>
      <c r="F152" s="249" t="str">
        <f t="shared" ca="1" si="22"/>
        <v/>
      </c>
      <c r="G152" s="40"/>
    </row>
    <row r="153" spans="2:7" customFormat="1" x14ac:dyDescent="0.25"/>
    <row r="154" spans="2:7" customFormat="1" x14ac:dyDescent="0.25">
      <c r="B154" s="187"/>
      <c r="C154" s="258"/>
      <c r="D154" s="188"/>
      <c r="E154" s="188"/>
      <c r="F154" s="188"/>
      <c r="G154" s="189"/>
    </row>
    <row r="155" spans="2:7" customFormat="1" ht="15.5" x14ac:dyDescent="0.35">
      <c r="B155" s="190"/>
      <c r="C155" s="259" t="s">
        <v>581</v>
      </c>
      <c r="D155" s="234"/>
      <c r="E155" s="234"/>
      <c r="F155" s="234"/>
      <c r="G155" s="191"/>
    </row>
    <row r="156" spans="2:7" customFormat="1" x14ac:dyDescent="0.25">
      <c r="B156" s="192"/>
      <c r="C156" s="260"/>
      <c r="D156" s="193"/>
      <c r="E156" s="193"/>
      <c r="F156" s="193"/>
      <c r="G156" s="194"/>
    </row>
    <row r="157" spans="2:7" customFormat="1" x14ac:dyDescent="0.25">
      <c r="B157" s="251"/>
      <c r="C157" s="252"/>
      <c r="D157" s="252"/>
      <c r="E157" s="252"/>
      <c r="F157" s="252"/>
      <c r="G157" s="253"/>
    </row>
    <row r="158" spans="2:7" customFormat="1" ht="13" x14ac:dyDescent="0.3">
      <c r="B158" s="36"/>
      <c r="C158" s="264" t="s">
        <v>451</v>
      </c>
      <c r="D158" s="244" t="str">
        <f ca="1">IFERROR(IF($C158&lt;&gt;"",VLOOKUP($C158,INDIRECT($L$5),2,FALSE),""),"")</f>
        <v/>
      </c>
      <c r="E158" s="727" t="str">
        <f ca="1">IFERROR(IF($C158&lt;&gt;"",VLOOKUP($C158,INDIRECT($L$5),3,FALSE),""),"")</f>
        <v/>
      </c>
      <c r="F158" s="245" t="str">
        <f ca="1">IFERROR(IF($C158&lt;&gt;"",VLOOKUP($C158,INDIRECT($L$5),4,FALSE),""),"")</f>
        <v/>
      </c>
      <c r="G158" s="38"/>
    </row>
    <row r="159" spans="2:7" customFormat="1" ht="13" x14ac:dyDescent="0.3">
      <c r="B159" s="36"/>
      <c r="C159" s="264" t="s">
        <v>452</v>
      </c>
      <c r="D159" s="246" t="str">
        <f ca="1">IFERROR(IF($C159&lt;&gt;"",VLOOKUP($C159,INDIRECT($L$5),2,FALSE),""),"")</f>
        <v/>
      </c>
      <c r="E159" s="729" t="str">
        <f ca="1">IFERROR(IF($C159&lt;&gt;"",VLOOKUP($C159,INDIRECT($L$5),3,FALSE),""),"")</f>
        <v/>
      </c>
      <c r="F159" s="247" t="str">
        <f ca="1">IFERROR(IF($C159&lt;&gt;"",VLOOKUP($C159,INDIRECT($L$5),4,FALSE),""),"")</f>
        <v/>
      </c>
      <c r="G159" s="38"/>
    </row>
    <row r="160" spans="2:7" customFormat="1" ht="13" x14ac:dyDescent="0.3">
      <c r="B160" s="39"/>
      <c r="C160" s="266" t="s">
        <v>453</v>
      </c>
      <c r="D160" s="248" t="str">
        <f ca="1">IFERROR(IF($C160&lt;&gt;"",VLOOKUP($C160,INDIRECT($L$5),2,FALSE),""),"")</f>
        <v/>
      </c>
      <c r="E160" s="738" t="str">
        <f ca="1">IFERROR(IF($C160&lt;&gt;"",VLOOKUP($C160,INDIRECT($L$5),3,FALSE),""),"")</f>
        <v/>
      </c>
      <c r="F160" s="249" t="str">
        <f ca="1">IFERROR(IF($C160&lt;&gt;"",VLOOKUP($C160,INDIRECT($L$5),4,FALSE),""),"")</f>
        <v/>
      </c>
      <c r="G160" s="40"/>
    </row>
    <row r="161" spans="2:7" customFormat="1" x14ac:dyDescent="0.25"/>
    <row r="162" spans="2:7" customFormat="1" x14ac:dyDescent="0.25">
      <c r="B162" s="187"/>
      <c r="C162" s="188"/>
      <c r="D162" s="188"/>
      <c r="E162" s="255"/>
      <c r="F162" s="188"/>
      <c r="G162" s="189"/>
    </row>
    <row r="163" spans="2:7" customFormat="1" ht="15.5" x14ac:dyDescent="0.35">
      <c r="B163" s="190"/>
      <c r="C163" s="254" t="s">
        <v>765</v>
      </c>
      <c r="D163" s="234"/>
      <c r="E163" s="256"/>
      <c r="F163" s="234"/>
      <c r="G163" s="191"/>
    </row>
    <row r="164" spans="2:7" customFormat="1" ht="15.5" x14ac:dyDescent="0.35">
      <c r="B164" s="192"/>
      <c r="C164" s="193"/>
      <c r="D164" s="193"/>
      <c r="E164" s="792" t="s">
        <v>758</v>
      </c>
      <c r="F164" s="193"/>
      <c r="G164" s="194"/>
    </row>
    <row r="165" spans="2:7" customFormat="1" x14ac:dyDescent="0.25">
      <c r="B165" s="251"/>
      <c r="C165" s="252"/>
      <c r="D165" s="252"/>
      <c r="E165" s="252"/>
      <c r="F165" s="252"/>
      <c r="G165" s="253"/>
    </row>
    <row r="166" spans="2:7" customFormat="1" ht="13" x14ac:dyDescent="0.3">
      <c r="B166" s="36"/>
      <c r="C166" s="264" t="s">
        <v>461</v>
      </c>
      <c r="D166" s="244" t="str">
        <f t="shared" ref="D166:D190" ca="1" si="23">IFERROR(IF($C166&lt;&gt;"",VLOOKUP($C166,INDIRECT($L$5),2,FALSE),""),"")</f>
        <v/>
      </c>
      <c r="E166" s="721" t="str">
        <f t="shared" ref="E166:E190" ca="1" si="24">IFERROR(IF($C166&lt;&gt;"",VLOOKUP($C166,INDIRECT($L$5),3,FALSE),""),"")</f>
        <v/>
      </c>
      <c r="F166" s="245" t="str">
        <f t="shared" ref="F166:F190" ca="1" si="25">IFERROR(IF($C166&lt;&gt;"",VLOOKUP($C166,INDIRECT($L$5),4,FALSE),""),"")</f>
        <v/>
      </c>
      <c r="G166" s="38"/>
    </row>
    <row r="167" spans="2:7" customFormat="1" ht="13" x14ac:dyDescent="0.3">
      <c r="B167" s="36"/>
      <c r="C167" s="264" t="s">
        <v>462</v>
      </c>
      <c r="D167" s="246" t="str">
        <f t="shared" ca="1" si="23"/>
        <v/>
      </c>
      <c r="E167" s="718" t="str">
        <f t="shared" ca="1" si="24"/>
        <v/>
      </c>
      <c r="F167" s="247" t="str">
        <f t="shared" ca="1" si="25"/>
        <v/>
      </c>
      <c r="G167" s="38"/>
    </row>
    <row r="168" spans="2:7" customFormat="1" ht="13" x14ac:dyDescent="0.3">
      <c r="B168" s="36"/>
      <c r="C168" s="264" t="s">
        <v>463</v>
      </c>
      <c r="D168" s="246" t="str">
        <f t="shared" ca="1" si="23"/>
        <v/>
      </c>
      <c r="E168" s="718" t="str">
        <f t="shared" ca="1" si="24"/>
        <v/>
      </c>
      <c r="F168" s="247" t="str">
        <f t="shared" ca="1" si="25"/>
        <v/>
      </c>
      <c r="G168" s="38"/>
    </row>
    <row r="169" spans="2:7" customFormat="1" x14ac:dyDescent="0.25">
      <c r="B169" s="36"/>
      <c r="C169" s="37"/>
      <c r="D169" s="246" t="str">
        <f t="shared" ca="1" si="23"/>
        <v/>
      </c>
      <c r="E169" s="718" t="str">
        <f t="shared" ca="1" si="24"/>
        <v/>
      </c>
      <c r="F169" s="247" t="str">
        <f t="shared" ca="1" si="25"/>
        <v/>
      </c>
      <c r="G169" s="38"/>
    </row>
    <row r="170" spans="2:7" customFormat="1" ht="13" x14ac:dyDescent="0.3">
      <c r="B170" s="36"/>
      <c r="C170" s="264" t="s">
        <v>464</v>
      </c>
      <c r="D170" s="246" t="str">
        <f t="shared" ca="1" si="23"/>
        <v/>
      </c>
      <c r="E170" s="718" t="str">
        <f t="shared" ca="1" si="24"/>
        <v/>
      </c>
      <c r="F170" s="247" t="str">
        <f t="shared" ca="1" si="25"/>
        <v/>
      </c>
      <c r="G170" s="38"/>
    </row>
    <row r="171" spans="2:7" customFormat="1" ht="13" x14ac:dyDescent="0.3">
      <c r="B171" s="36"/>
      <c r="C171" s="264" t="s">
        <v>465</v>
      </c>
      <c r="D171" s="246" t="str">
        <f t="shared" ca="1" si="23"/>
        <v/>
      </c>
      <c r="E171" s="718" t="str">
        <f t="shared" ca="1" si="24"/>
        <v/>
      </c>
      <c r="F171" s="247" t="str">
        <f t="shared" ca="1" si="25"/>
        <v/>
      </c>
      <c r="G171" s="38"/>
    </row>
    <row r="172" spans="2:7" customFormat="1" ht="13" x14ac:dyDescent="0.3">
      <c r="B172" s="36"/>
      <c r="C172" s="264" t="s">
        <v>466</v>
      </c>
      <c r="D172" s="246" t="str">
        <f t="shared" ca="1" si="23"/>
        <v/>
      </c>
      <c r="E172" s="718" t="str">
        <f t="shared" ca="1" si="24"/>
        <v/>
      </c>
      <c r="F172" s="247" t="str">
        <f t="shared" ca="1" si="25"/>
        <v/>
      </c>
      <c r="G172" s="38"/>
    </row>
    <row r="173" spans="2:7" customFormat="1" ht="13" x14ac:dyDescent="0.3">
      <c r="B173" s="36"/>
      <c r="C173" s="264" t="s">
        <v>467</v>
      </c>
      <c r="D173" s="246" t="str">
        <f t="shared" ca="1" si="23"/>
        <v/>
      </c>
      <c r="E173" s="718" t="str">
        <f t="shared" ca="1" si="24"/>
        <v/>
      </c>
      <c r="F173" s="247" t="str">
        <f t="shared" ca="1" si="25"/>
        <v/>
      </c>
      <c r="G173" s="38"/>
    </row>
    <row r="174" spans="2:7" customFormat="1" ht="13" x14ac:dyDescent="0.3">
      <c r="B174" s="36"/>
      <c r="C174" s="264" t="s">
        <v>468</v>
      </c>
      <c r="D174" s="246" t="str">
        <f t="shared" ca="1" si="23"/>
        <v/>
      </c>
      <c r="E174" s="718" t="str">
        <f t="shared" ca="1" si="24"/>
        <v/>
      </c>
      <c r="F174" s="247" t="str">
        <f t="shared" ca="1" si="25"/>
        <v/>
      </c>
      <c r="G174" s="38"/>
    </row>
    <row r="175" spans="2:7" customFormat="1" ht="13" x14ac:dyDescent="0.3">
      <c r="B175" s="36"/>
      <c r="C175" s="264" t="s">
        <v>469</v>
      </c>
      <c r="D175" s="246" t="str">
        <f t="shared" ca="1" si="23"/>
        <v/>
      </c>
      <c r="E175" s="718" t="str">
        <f t="shared" ca="1" si="24"/>
        <v/>
      </c>
      <c r="F175" s="247" t="str">
        <f t="shared" ca="1" si="25"/>
        <v/>
      </c>
      <c r="G175" s="38"/>
    </row>
    <row r="176" spans="2:7" customFormat="1" ht="13" x14ac:dyDescent="0.3">
      <c r="B176" s="36"/>
      <c r="C176" s="264" t="s">
        <v>470</v>
      </c>
      <c r="D176" s="246" t="str">
        <f t="shared" ca="1" si="23"/>
        <v/>
      </c>
      <c r="E176" s="718" t="str">
        <f t="shared" ca="1" si="24"/>
        <v/>
      </c>
      <c r="F176" s="247" t="str">
        <f t="shared" ca="1" si="25"/>
        <v/>
      </c>
      <c r="G176" s="38"/>
    </row>
    <row r="177" spans="1:7" ht="15.65" customHeight="1" x14ac:dyDescent="0.3">
      <c r="A177" s="337"/>
      <c r="B177" s="36"/>
      <c r="C177" s="264" t="s">
        <v>471</v>
      </c>
      <c r="D177" s="246" t="str">
        <f t="shared" ca="1" si="23"/>
        <v/>
      </c>
      <c r="E177" s="718" t="str">
        <f t="shared" ca="1" si="24"/>
        <v/>
      </c>
      <c r="F177" s="247" t="str">
        <f t="shared" ca="1" si="25"/>
        <v/>
      </c>
      <c r="G177" s="38"/>
    </row>
    <row r="178" spans="1:7" ht="15.65" customHeight="1" x14ac:dyDescent="0.3">
      <c r="B178" s="36"/>
      <c r="C178" s="264" t="s">
        <v>472</v>
      </c>
      <c r="D178" s="246" t="str">
        <f t="shared" ca="1" si="23"/>
        <v/>
      </c>
      <c r="E178" s="718" t="str">
        <f t="shared" ca="1" si="24"/>
        <v/>
      </c>
      <c r="F178" s="247" t="str">
        <f t="shared" ca="1" si="25"/>
        <v/>
      </c>
      <c r="G178" s="38"/>
    </row>
    <row r="179" spans="1:7" ht="15.65" customHeight="1" x14ac:dyDescent="0.3">
      <c r="B179" s="36"/>
      <c r="C179" s="264" t="s">
        <v>473</v>
      </c>
      <c r="D179" s="246" t="str">
        <f t="shared" ca="1" si="23"/>
        <v/>
      </c>
      <c r="E179" s="718" t="str">
        <f t="shared" ca="1" si="24"/>
        <v/>
      </c>
      <c r="F179" s="247" t="str">
        <f t="shared" ca="1" si="25"/>
        <v/>
      </c>
      <c r="G179" s="38"/>
    </row>
    <row r="180" spans="1:7" ht="15.65" customHeight="1" x14ac:dyDescent="0.3">
      <c r="B180" s="36"/>
      <c r="C180" s="264" t="s">
        <v>474</v>
      </c>
      <c r="D180" s="246" t="str">
        <f t="shared" ca="1" si="23"/>
        <v/>
      </c>
      <c r="E180" s="718" t="str">
        <f t="shared" ca="1" si="24"/>
        <v/>
      </c>
      <c r="F180" s="247" t="str">
        <f t="shared" ca="1" si="25"/>
        <v/>
      </c>
      <c r="G180" s="38"/>
    </row>
    <row r="181" spans="1:7" ht="13" x14ac:dyDescent="0.3">
      <c r="B181" s="36"/>
      <c r="C181" s="264" t="s">
        <v>766</v>
      </c>
      <c r="D181" s="246" t="str">
        <f t="shared" ca="1" si="23"/>
        <v/>
      </c>
      <c r="E181" s="718" t="str">
        <f t="shared" ca="1" si="24"/>
        <v/>
      </c>
      <c r="F181" s="247" t="str">
        <f t="shared" ca="1" si="25"/>
        <v/>
      </c>
      <c r="G181" s="38"/>
    </row>
    <row r="182" spans="1:7" ht="13" x14ac:dyDescent="0.3">
      <c r="B182" s="36"/>
      <c r="C182" s="264" t="s">
        <v>767</v>
      </c>
      <c r="D182" s="246" t="str">
        <f t="shared" ca="1" si="23"/>
        <v/>
      </c>
      <c r="E182" s="718" t="str">
        <f t="shared" ca="1" si="24"/>
        <v/>
      </c>
      <c r="F182" s="247" t="str">
        <f t="shared" ca="1" si="25"/>
        <v/>
      </c>
      <c r="G182" s="38"/>
    </row>
    <row r="183" spans="1:7" ht="13" x14ac:dyDescent="0.3">
      <c r="B183" s="36"/>
      <c r="C183" s="264" t="s">
        <v>768</v>
      </c>
      <c r="D183" s="246" t="str">
        <f t="shared" ca="1" si="23"/>
        <v/>
      </c>
      <c r="E183" s="718" t="str">
        <f t="shared" ca="1" si="24"/>
        <v/>
      </c>
      <c r="F183" s="247" t="str">
        <f t="shared" ca="1" si="25"/>
        <v/>
      </c>
      <c r="G183" s="38"/>
    </row>
    <row r="184" spans="1:7" ht="13" x14ac:dyDescent="0.3">
      <c r="B184" s="36"/>
      <c r="C184" s="264" t="s">
        <v>769</v>
      </c>
      <c r="D184" s="246" t="str">
        <f t="shared" ca="1" si="23"/>
        <v/>
      </c>
      <c r="E184" s="718" t="str">
        <f t="shared" ca="1" si="24"/>
        <v/>
      </c>
      <c r="F184" s="247" t="str">
        <f t="shared" ca="1" si="25"/>
        <v/>
      </c>
      <c r="G184" s="38"/>
    </row>
    <row r="185" spans="1:7" ht="13" x14ac:dyDescent="0.3">
      <c r="B185" s="36"/>
      <c r="C185" s="264" t="s">
        <v>770</v>
      </c>
      <c r="D185" s="246" t="str">
        <f t="shared" ca="1" si="23"/>
        <v/>
      </c>
      <c r="E185" s="718" t="str">
        <f t="shared" ca="1" si="24"/>
        <v/>
      </c>
      <c r="F185" s="247" t="str">
        <f t="shared" ca="1" si="25"/>
        <v/>
      </c>
      <c r="G185" s="38"/>
    </row>
    <row r="186" spans="1:7" ht="13" x14ac:dyDescent="0.3">
      <c r="B186" s="36"/>
      <c r="C186" s="264" t="s">
        <v>771</v>
      </c>
      <c r="D186" s="246" t="str">
        <f t="shared" ca="1" si="23"/>
        <v/>
      </c>
      <c r="E186" s="718" t="str">
        <f t="shared" ca="1" si="24"/>
        <v/>
      </c>
      <c r="F186" s="247" t="str">
        <f t="shared" ca="1" si="25"/>
        <v/>
      </c>
      <c r="G186" s="38"/>
    </row>
    <row r="187" spans="1:7" ht="13" x14ac:dyDescent="0.3">
      <c r="B187" s="36"/>
      <c r="C187" s="264" t="s">
        <v>772</v>
      </c>
      <c r="D187" s="246" t="str">
        <f t="shared" ca="1" si="23"/>
        <v/>
      </c>
      <c r="E187" s="718" t="str">
        <f t="shared" ca="1" si="24"/>
        <v/>
      </c>
      <c r="F187" s="247" t="str">
        <f t="shared" ca="1" si="25"/>
        <v/>
      </c>
      <c r="G187" s="38"/>
    </row>
    <row r="188" spans="1:7" ht="13" x14ac:dyDescent="0.3">
      <c r="B188" s="36"/>
      <c r="C188" s="264" t="s">
        <v>773</v>
      </c>
      <c r="D188" s="246" t="str">
        <f t="shared" ca="1" si="23"/>
        <v/>
      </c>
      <c r="E188" s="718" t="str">
        <f t="shared" ca="1" si="24"/>
        <v/>
      </c>
      <c r="F188" s="247" t="str">
        <f t="shared" ca="1" si="25"/>
        <v/>
      </c>
      <c r="G188" s="38"/>
    </row>
    <row r="189" spans="1:7" ht="13" x14ac:dyDescent="0.3">
      <c r="B189" s="36"/>
      <c r="C189" s="264" t="s">
        <v>774</v>
      </c>
      <c r="D189" s="246" t="str">
        <f t="shared" ca="1" si="23"/>
        <v/>
      </c>
      <c r="E189" s="718" t="str">
        <f t="shared" ca="1" si="24"/>
        <v/>
      </c>
      <c r="F189" s="247" t="str">
        <f t="shared" ca="1" si="25"/>
        <v/>
      </c>
      <c r="G189" s="38"/>
    </row>
    <row r="190" spans="1:7" ht="13" x14ac:dyDescent="0.3">
      <c r="B190" s="39"/>
      <c r="C190" s="266" t="s">
        <v>775</v>
      </c>
      <c r="D190" s="248" t="str">
        <f t="shared" ca="1" si="23"/>
        <v/>
      </c>
      <c r="E190" s="722" t="str">
        <f t="shared" ca="1" si="24"/>
        <v/>
      </c>
      <c r="F190" s="249" t="str">
        <f t="shared" ca="1" si="25"/>
        <v/>
      </c>
      <c r="G190" s="40"/>
    </row>
    <row r="191" spans="1:7" x14ac:dyDescent="0.25"/>
    <row r="192" spans="1:7" customFormat="1" x14ac:dyDescent="0.25">
      <c r="B192" s="187"/>
      <c r="C192" s="188"/>
      <c r="D192" s="188"/>
      <c r="E192" s="188"/>
      <c r="F192" s="188"/>
      <c r="G192" s="189"/>
    </row>
    <row r="193" spans="2:7" customFormat="1" ht="15.5" x14ac:dyDescent="0.35">
      <c r="B193" s="190"/>
      <c r="C193" s="254" t="s">
        <v>776</v>
      </c>
      <c r="D193" s="234"/>
      <c r="E193" s="234"/>
      <c r="F193" s="234"/>
      <c r="G193" s="191"/>
    </row>
    <row r="194" spans="2:7" customFormat="1" x14ac:dyDescent="0.25">
      <c r="B194" s="192"/>
      <c r="C194" s="193"/>
      <c r="D194" s="193"/>
      <c r="E194" s="193"/>
      <c r="F194" s="193"/>
      <c r="G194" s="194"/>
    </row>
    <row r="195" spans="2:7" customFormat="1" x14ac:dyDescent="0.25">
      <c r="B195" s="251"/>
      <c r="C195" s="252"/>
      <c r="D195" s="252"/>
      <c r="E195" s="252"/>
      <c r="F195" s="252"/>
      <c r="G195" s="253"/>
    </row>
    <row r="196" spans="2:7" customFormat="1" ht="13" x14ac:dyDescent="0.3">
      <c r="B196" s="36"/>
      <c r="C196" s="264" t="s">
        <v>454</v>
      </c>
      <c r="D196" s="244" t="str">
        <f t="shared" ref="D196:D204" ca="1" si="26">IFERROR(IF($C196&lt;&gt;"",VLOOKUP($C196,INDIRECT($L$5),2,FALSE),""),"")</f>
        <v/>
      </c>
      <c r="E196" s="593" t="str">
        <f t="shared" ref="E196:E204" ca="1" si="27">IFERROR(IF($C196&lt;&gt;"",VLOOKUP($C196,INDIRECT($L$5),3,FALSE),""),"")</f>
        <v/>
      </c>
      <c r="F196" s="245" t="str">
        <f t="shared" ref="F196:F204" ca="1" si="28">IFERROR(IF($C196&lt;&gt;"",VLOOKUP($C196,INDIRECT($L$5),4,FALSE),""),"")</f>
        <v/>
      </c>
      <c r="G196" s="38"/>
    </row>
    <row r="197" spans="2:7" customFormat="1" ht="13" x14ac:dyDescent="0.3">
      <c r="B197" s="36"/>
      <c r="C197" s="264" t="s">
        <v>65</v>
      </c>
      <c r="D197" s="246" t="str">
        <f t="shared" ca="1" si="26"/>
        <v/>
      </c>
      <c r="E197" s="594" t="str">
        <f t="shared" ca="1" si="27"/>
        <v/>
      </c>
      <c r="F197" s="247" t="str">
        <f t="shared" ca="1" si="28"/>
        <v/>
      </c>
      <c r="G197" s="38"/>
    </row>
    <row r="198" spans="2:7" customFormat="1" ht="13" x14ac:dyDescent="0.3">
      <c r="B198" s="36"/>
      <c r="C198" s="264" t="s">
        <v>455</v>
      </c>
      <c r="D198" s="246" t="str">
        <f t="shared" ca="1" si="26"/>
        <v/>
      </c>
      <c r="E198" s="594" t="str">
        <f t="shared" ca="1" si="27"/>
        <v/>
      </c>
      <c r="F198" s="247" t="str">
        <f t="shared" ca="1" si="28"/>
        <v/>
      </c>
      <c r="G198" s="38"/>
    </row>
    <row r="199" spans="2:7" customFormat="1" ht="13" x14ac:dyDescent="0.3">
      <c r="B199" s="36"/>
      <c r="C199" s="264"/>
      <c r="D199" s="246" t="str">
        <f t="shared" ca="1" si="26"/>
        <v/>
      </c>
      <c r="E199" s="594" t="str">
        <f t="shared" ca="1" si="27"/>
        <v/>
      </c>
      <c r="F199" s="247" t="str">
        <f t="shared" ca="1" si="28"/>
        <v/>
      </c>
      <c r="G199" s="38"/>
    </row>
    <row r="200" spans="2:7" customFormat="1" ht="13" x14ac:dyDescent="0.3">
      <c r="B200" s="36"/>
      <c r="C200" s="264" t="s">
        <v>456</v>
      </c>
      <c r="D200" s="246" t="str">
        <f t="shared" ca="1" si="26"/>
        <v/>
      </c>
      <c r="E200" s="725" t="str">
        <f t="shared" ca="1" si="27"/>
        <v/>
      </c>
      <c r="F200" s="247" t="str">
        <f t="shared" ca="1" si="28"/>
        <v/>
      </c>
      <c r="G200" s="38"/>
    </row>
    <row r="201" spans="2:7" customFormat="1" ht="13" x14ac:dyDescent="0.3">
      <c r="B201" s="36"/>
      <c r="C201" s="264" t="s">
        <v>572</v>
      </c>
      <c r="D201" s="246" t="str">
        <f t="shared" ca="1" si="26"/>
        <v/>
      </c>
      <c r="E201" s="725" t="str">
        <f t="shared" ca="1" si="27"/>
        <v/>
      </c>
      <c r="F201" s="247" t="str">
        <f t="shared" ca="1" si="28"/>
        <v/>
      </c>
      <c r="G201" s="38"/>
    </row>
    <row r="202" spans="2:7" customFormat="1" ht="13" x14ac:dyDescent="0.3">
      <c r="B202" s="36"/>
      <c r="C202" s="264" t="s">
        <v>457</v>
      </c>
      <c r="D202" s="246" t="str">
        <f t="shared" ca="1" si="26"/>
        <v/>
      </c>
      <c r="E202" s="725" t="str">
        <f t="shared" ca="1" si="27"/>
        <v/>
      </c>
      <c r="F202" s="247" t="str">
        <f t="shared" ca="1" si="28"/>
        <v/>
      </c>
      <c r="G202" s="38"/>
    </row>
    <row r="203" spans="2:7" customFormat="1" ht="13" x14ac:dyDescent="0.3">
      <c r="B203" s="36"/>
      <c r="C203" s="264" t="s">
        <v>459</v>
      </c>
      <c r="D203" s="246" t="str">
        <f t="shared" ca="1" si="26"/>
        <v/>
      </c>
      <c r="E203" s="725" t="str">
        <f t="shared" ca="1" si="27"/>
        <v/>
      </c>
      <c r="F203" s="247" t="str">
        <f t="shared" ca="1" si="28"/>
        <v/>
      </c>
      <c r="G203" s="38"/>
    </row>
    <row r="204" spans="2:7" customFormat="1" ht="13" x14ac:dyDescent="0.3">
      <c r="B204" s="39"/>
      <c r="C204" s="266" t="s">
        <v>460</v>
      </c>
      <c r="D204" s="248" t="str">
        <f t="shared" ca="1" si="26"/>
        <v/>
      </c>
      <c r="E204" s="739" t="str">
        <f t="shared" ca="1" si="27"/>
        <v/>
      </c>
      <c r="F204" s="249" t="str">
        <f t="shared" ca="1" si="28"/>
        <v/>
      </c>
      <c r="G204" s="40"/>
    </row>
    <row r="205" spans="2:7" x14ac:dyDescent="0.25"/>
  </sheetData>
  <sheetProtection sheet="1" objects="1" scenarios="1"/>
  <mergeCells count="1">
    <mergeCell ref="B3:G3"/>
  </mergeCells>
  <conditionalFormatting sqref="A73:B73">
    <cfRule type="expression" dxfId="187" priority="224">
      <formula>#REF!="N/A"</formula>
    </cfRule>
  </conditionalFormatting>
  <conditionalFormatting sqref="A4:K8 O4:XFD8 A9:XFD30 A31:K35 O31:XFD35 A36:XFD72 G73:XFD73 A76:XFD204">
    <cfRule type="expression" dxfId="186" priority="91">
      <formula>$E4="N/A"</formula>
    </cfRule>
  </conditionalFormatting>
  <conditionalFormatting sqref="C73:F75">
    <cfRule type="expression" dxfId="185" priority="1">
      <formula>$E73="N/A"</formula>
    </cfRule>
  </conditionalFormatting>
  <conditionalFormatting sqref="G74:XFD75">
    <cfRule type="expression" dxfId="184" priority="225">
      <formula>$E73="N/A"</formula>
    </cfRule>
  </conditionalFormatting>
  <conditionalFormatting sqref="L4">
    <cfRule type="expression" dxfId="183" priority="2">
      <formula>$E4="N/A"</formula>
    </cfRule>
  </conditionalFormatting>
  <conditionalFormatting sqref="M4:N8 L5:L8">
    <cfRule type="expression" dxfId="182" priority="94">
      <formula>$E31="N/A"</formula>
    </cfRule>
  </conditionalFormatting>
  <pageMargins left="0.7" right="0.7" top="0.75" bottom="0.75" header="0.3" footer="0.3"/>
  <pageSetup paperSize="9" scale="59" fitToHeight="0" orientation="portrait" r:id="rId1"/>
  <rowBreaks count="1" manualBreakCount="1">
    <brk id="10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484-A7E9-498C-B6C8-3D84BDFBD107}">
  <sheetPr codeName="Sheet3">
    <tabColor theme="4" tint="0.39997558519241921"/>
  </sheetPr>
  <dimension ref="A1:AQ308"/>
  <sheetViews>
    <sheetView showGridLines="0" zoomScale="55" zoomScaleNormal="55" workbookViewId="0">
      <selection activeCell="C47" sqref="C47"/>
    </sheetView>
  </sheetViews>
  <sheetFormatPr defaultColWidth="8.54296875" defaultRowHeight="15.5" x14ac:dyDescent="0.25"/>
  <cols>
    <col min="1" max="1" width="4.54296875" style="1069" customWidth="1"/>
    <col min="2" max="2" width="3.54296875" style="1069" customWidth="1"/>
    <col min="3" max="3" width="51.1796875" style="1069" customWidth="1"/>
    <col min="4" max="4" width="4.54296875" style="1069" customWidth="1"/>
    <col min="5" max="11" width="40.54296875" style="1069" customWidth="1"/>
    <col min="12" max="13" width="11.81640625" style="1069" customWidth="1"/>
    <col min="14" max="14" width="24.54296875" style="1069" customWidth="1"/>
    <col min="15" max="15" width="29.453125" style="1069" customWidth="1"/>
    <col min="16" max="16" width="5.81640625" style="1069" customWidth="1"/>
    <col min="17" max="18" width="8.54296875" style="1069" customWidth="1"/>
    <col min="19" max="19" width="15.54296875" style="1069" customWidth="1"/>
    <col min="20" max="21" width="8.54296875" style="1069" customWidth="1"/>
    <col min="22" max="22" width="14.453125" style="1069" customWidth="1"/>
    <col min="23" max="23" width="8.54296875" style="1069" customWidth="1"/>
    <col min="24" max="24" width="14.1796875" style="1069" customWidth="1"/>
    <col min="25" max="29" width="50.54296875" style="1069" customWidth="1"/>
    <col min="30" max="30" width="20.453125" style="1069" customWidth="1"/>
    <col min="31" max="31" width="19.453125" style="1069" customWidth="1"/>
    <col min="32" max="32" width="32.453125" style="1069" bestFit="1" customWidth="1"/>
    <col min="33" max="33" width="8.54296875" style="1069" customWidth="1"/>
    <col min="34" max="34" width="21.1796875" style="1069" customWidth="1"/>
    <col min="35" max="35" width="18" style="1069" customWidth="1"/>
    <col min="36" max="36" width="29.54296875" style="1069" customWidth="1"/>
    <col min="37" max="37" width="34.54296875" style="1069" customWidth="1"/>
    <col min="38" max="16384" width="8.54296875" style="1069"/>
  </cols>
  <sheetData>
    <row r="1" spans="2:33" ht="33" customHeight="1" x14ac:dyDescent="0.25"/>
    <row r="2" spans="2:33" ht="309" customHeight="1" x14ac:dyDescent="0.25"/>
    <row r="3" spans="2:33" ht="41.25" customHeight="1" x14ac:dyDescent="0.25">
      <c r="B3" s="1884" t="s">
        <v>175</v>
      </c>
      <c r="C3" s="1884"/>
      <c r="D3" s="1884"/>
      <c r="E3" s="1884"/>
      <c r="F3" s="1884"/>
      <c r="G3" s="1884"/>
      <c r="H3" s="1884"/>
      <c r="I3" s="1884"/>
      <c r="J3" s="1884"/>
      <c r="K3" s="1884"/>
      <c r="L3" s="1884"/>
      <c r="M3" s="1884"/>
      <c r="N3" s="1884"/>
      <c r="O3" s="1884"/>
      <c r="P3" s="1884"/>
      <c r="Q3" s="1884"/>
    </row>
    <row r="4" spans="2:33" ht="15.65" customHeight="1" x14ac:dyDescent="0.25">
      <c r="B4" s="1070"/>
      <c r="C4" s="1070"/>
      <c r="D4" s="1070"/>
      <c r="E4" s="1070"/>
      <c r="F4" s="1070"/>
      <c r="G4" s="1070"/>
      <c r="H4" s="1070"/>
      <c r="I4" s="1070"/>
      <c r="J4" s="1070"/>
      <c r="K4" s="1070"/>
      <c r="L4" s="1070"/>
      <c r="M4" s="1070"/>
      <c r="N4" s="1070"/>
      <c r="O4" s="1070"/>
      <c r="P4" s="1070"/>
      <c r="Q4" s="1070"/>
      <c r="Y4" s="1071"/>
      <c r="Z4" s="1072"/>
      <c r="AA4" s="1072"/>
      <c r="AB4" s="1072"/>
      <c r="AC4" s="1072"/>
      <c r="AD4" s="1072"/>
      <c r="AE4" s="1073"/>
      <c r="AF4" s="1072"/>
      <c r="AG4" s="1073"/>
    </row>
    <row r="5" spans="2:33" ht="15.65" customHeight="1" x14ac:dyDescent="0.25">
      <c r="B5" s="1070"/>
      <c r="C5" s="1074" t="s">
        <v>777</v>
      </c>
      <c r="D5" s="1070"/>
      <c r="E5" s="1070"/>
      <c r="F5" s="1070"/>
      <c r="G5" s="1070"/>
      <c r="H5" s="1070"/>
      <c r="I5" s="1070"/>
      <c r="J5" s="1070"/>
      <c r="K5" s="1070"/>
      <c r="L5" s="1070"/>
      <c r="M5" s="1070"/>
      <c r="N5" s="1070"/>
      <c r="O5" s="1070"/>
      <c r="P5" s="1070"/>
      <c r="Q5" s="1070"/>
      <c r="Y5" s="1075" t="s">
        <v>72</v>
      </c>
      <c r="Z5" s="1076"/>
      <c r="AA5" s="1076"/>
      <c r="AB5" s="1076"/>
      <c r="AC5" s="1076"/>
      <c r="AD5" s="1076"/>
      <c r="AE5" s="1077"/>
      <c r="AF5" s="1076"/>
      <c r="AG5" s="1077"/>
    </row>
    <row r="6" spans="2:33" ht="15.65" customHeight="1" x14ac:dyDescent="0.25">
      <c r="B6" s="1070"/>
      <c r="C6" s="1070"/>
      <c r="D6" s="1070"/>
      <c r="E6" s="1070"/>
      <c r="F6" s="1070"/>
      <c r="G6" s="1070"/>
      <c r="H6" s="1070"/>
      <c r="I6" s="1070"/>
      <c r="J6" s="1070"/>
      <c r="K6" s="1070"/>
      <c r="L6" s="1070"/>
      <c r="M6" s="1070"/>
      <c r="N6" s="1070"/>
      <c r="O6" s="1070"/>
      <c r="P6" s="1070"/>
      <c r="Q6" s="1070"/>
      <c r="Y6" s="1078"/>
      <c r="Z6" s="1076"/>
      <c r="AA6" s="1076"/>
      <c r="AB6" s="1076"/>
      <c r="AC6" s="1076"/>
      <c r="AD6" s="1076"/>
      <c r="AE6" s="1077"/>
      <c r="AF6" s="1076"/>
      <c r="AG6" s="1077"/>
    </row>
    <row r="7" spans="2:33" ht="15.65" customHeight="1" x14ac:dyDescent="0.25">
      <c r="Y7" s="263"/>
      <c r="Z7" s="1079"/>
      <c r="AA7" s="1079"/>
      <c r="AB7" s="1079"/>
      <c r="AC7" s="1079"/>
      <c r="AD7" s="1079"/>
      <c r="AE7" s="1079"/>
      <c r="AF7" s="1079"/>
      <c r="AG7" s="1080"/>
    </row>
    <row r="8" spans="2:33" ht="15.65" customHeight="1" x14ac:dyDescent="0.25">
      <c r="B8" s="1081"/>
      <c r="C8" s="1082"/>
      <c r="D8" s="1082"/>
      <c r="E8" s="1082"/>
      <c r="F8" s="1082"/>
      <c r="G8" s="1082"/>
      <c r="H8" s="1082"/>
      <c r="I8" s="1082"/>
      <c r="J8" s="1082"/>
      <c r="K8" s="1082"/>
      <c r="L8" s="1082"/>
      <c r="M8" s="1082"/>
      <c r="N8" s="1082"/>
      <c r="O8" s="1082"/>
      <c r="P8" s="1082"/>
      <c r="Q8" s="1083"/>
      <c r="Y8" s="263"/>
      <c r="Z8" s="1079"/>
      <c r="AA8" s="1079"/>
      <c r="AB8" s="1079"/>
      <c r="AC8" s="1079"/>
      <c r="AD8" s="1079"/>
      <c r="AE8" s="1079"/>
      <c r="AF8" s="1079"/>
      <c r="AG8" s="1080"/>
    </row>
    <row r="9" spans="2:33" ht="15.65" customHeight="1" x14ac:dyDescent="0.25">
      <c r="B9" s="1084"/>
      <c r="C9" s="1109" t="s">
        <v>30</v>
      </c>
      <c r="D9" s="1086"/>
      <c r="E9" s="1086"/>
      <c r="F9" s="1086"/>
      <c r="G9" s="1086"/>
      <c r="H9" s="1086"/>
      <c r="I9" s="1086"/>
      <c r="J9" s="1086"/>
      <c r="K9" s="1086"/>
      <c r="L9" s="1086"/>
      <c r="M9" s="1086"/>
      <c r="N9" s="1086"/>
      <c r="O9" s="1086"/>
      <c r="P9" s="1086"/>
      <c r="Q9" s="1087"/>
      <c r="Y9" s="1088"/>
      <c r="Z9" s="1079"/>
      <c r="AA9" s="1079"/>
      <c r="AB9" s="1079"/>
      <c r="AC9" s="1079"/>
      <c r="AD9" s="1079"/>
      <c r="AE9" s="1079"/>
      <c r="AF9" s="1079"/>
      <c r="AG9" s="1080"/>
    </row>
    <row r="10" spans="2:33" ht="15.65" customHeight="1" x14ac:dyDescent="0.25">
      <c r="B10" s="1089"/>
      <c r="C10" s="1090"/>
      <c r="D10" s="1090"/>
      <c r="E10" s="1091" t="s">
        <v>177</v>
      </c>
      <c r="F10" s="1091"/>
      <c r="G10" s="1090"/>
      <c r="H10" s="1092"/>
      <c r="I10" s="1092"/>
      <c r="J10" s="1093"/>
      <c r="K10" s="1090"/>
      <c r="L10" s="1090"/>
      <c r="M10" s="1090"/>
      <c r="N10" s="1090"/>
      <c r="O10" s="1091" t="s">
        <v>778</v>
      </c>
      <c r="P10" s="1090"/>
      <c r="Q10" s="1094"/>
      <c r="Y10" s="1088"/>
      <c r="Z10" s="1079"/>
      <c r="AA10" s="1079"/>
      <c r="AB10" s="1079"/>
      <c r="AC10" s="1079"/>
      <c r="AD10" s="1079"/>
      <c r="AE10" s="1079"/>
      <c r="AF10" s="1079"/>
      <c r="AG10" s="1080"/>
    </row>
    <row r="11" spans="2:33" ht="15.65" customHeight="1" x14ac:dyDescent="0.25">
      <c r="B11" s="1095"/>
      <c r="C11" s="1096"/>
      <c r="D11" s="1096"/>
      <c r="E11" s="1097"/>
      <c r="F11" s="1096"/>
      <c r="G11" s="1096"/>
      <c r="H11" s="1098"/>
      <c r="I11" s="1098"/>
      <c r="J11" s="1096"/>
      <c r="K11" s="1096"/>
      <c r="L11" s="1096"/>
      <c r="M11" s="1096"/>
      <c r="N11" s="1096"/>
      <c r="O11" s="1096"/>
      <c r="P11" s="1096"/>
      <c r="Q11" s="1099"/>
      <c r="Y11" s="1088"/>
      <c r="Z11" s="1079"/>
      <c r="AA11" s="1079"/>
      <c r="AB11" s="1079"/>
      <c r="AC11" s="1079"/>
      <c r="AD11" s="1079"/>
      <c r="AE11" s="1079"/>
      <c r="AF11" s="1079"/>
      <c r="AG11" s="1080"/>
    </row>
    <row r="12" spans="2:33" ht="15.65" customHeight="1" x14ac:dyDescent="0.25">
      <c r="B12" s="1095"/>
      <c r="C12" s="1096" t="s">
        <v>779</v>
      </c>
      <c r="D12" s="1096"/>
      <c r="E12" s="1026"/>
      <c r="F12" s="948" t="s">
        <v>183</v>
      </c>
      <c r="G12" s="1096"/>
      <c r="H12" s="1098"/>
      <c r="I12" s="1098"/>
      <c r="J12" s="1101"/>
      <c r="K12" s="1096"/>
      <c r="L12" s="1096"/>
      <c r="M12" s="1096"/>
      <c r="N12" s="1096"/>
      <c r="O12" s="1096"/>
      <c r="P12" s="1096"/>
      <c r="Q12" s="1099"/>
      <c r="Y12" s="1088"/>
      <c r="Z12" s="1102"/>
      <c r="AA12" s="1079"/>
      <c r="AB12" s="1079"/>
      <c r="AC12" s="1079"/>
      <c r="AD12" s="1079"/>
      <c r="AE12" s="1079"/>
      <c r="AF12" s="1079"/>
      <c r="AG12" s="1080"/>
    </row>
    <row r="13" spans="2:33" ht="15.65" customHeight="1" x14ac:dyDescent="0.25">
      <c r="B13" s="1095"/>
      <c r="C13" s="1096" t="s">
        <v>780</v>
      </c>
      <c r="D13" s="1096"/>
      <c r="E13" s="944"/>
      <c r="F13" s="1100"/>
      <c r="G13" s="1096"/>
      <c r="H13" s="1456"/>
      <c r="I13" s="1456"/>
      <c r="J13" s="1456"/>
      <c r="K13" s="1456"/>
      <c r="L13" s="1096"/>
      <c r="M13" s="1096"/>
      <c r="N13" s="1096"/>
      <c r="O13" s="1096"/>
      <c r="P13" s="1096"/>
      <c r="Q13" s="1099"/>
      <c r="Y13" s="1121" t="s">
        <v>781</v>
      </c>
      <c r="Z13" s="1121" t="s">
        <v>782</v>
      </c>
      <c r="AA13" s="1121" t="s">
        <v>783</v>
      </c>
      <c r="AB13" s="1121" t="s">
        <v>784</v>
      </c>
      <c r="AC13" s="1079"/>
      <c r="AD13" s="1079"/>
      <c r="AE13" s="1079"/>
      <c r="AF13" s="1079"/>
      <c r="AG13" s="1080"/>
    </row>
    <row r="14" spans="2:33" customFormat="1" x14ac:dyDescent="0.25">
      <c r="B14" s="1095"/>
      <c r="C14" s="1096" t="s">
        <v>785</v>
      </c>
      <c r="D14" s="1096"/>
      <c r="E14" s="942"/>
      <c r="F14" s="1456"/>
      <c r="G14" s="1096"/>
      <c r="H14" s="1098"/>
      <c r="I14" s="1098"/>
      <c r="J14" s="1104"/>
      <c r="K14" s="1096"/>
      <c r="L14" s="1096"/>
      <c r="M14" s="1096"/>
      <c r="N14" s="1096"/>
      <c r="O14" s="1096"/>
      <c r="P14" s="1096"/>
      <c r="Q14" s="1099"/>
      <c r="Y14" s="522">
        <f>amm_annual_capacity*VLOOKUP(F12,massConv[],2,FALSE)</f>
        <v>0</v>
      </c>
      <c r="Z14" s="522" t="e">
        <f>IF(AND(amm_integrated_facility="No",E14="No"),E15*VLOOKUP(F15,massConv[],2,FALSE),VLOOKUP(iq_selectedPathway,Table41[],2,FALSE))</f>
        <v>#N/A</v>
      </c>
      <c r="AA14" s="533" t="e">
        <f>IF(AND(amm_integrated_facility="No",E14="No"),E16,VLOOKUP(iq_selectedPathway,Table41[#All],3,FALSE))</f>
        <v>#N/A</v>
      </c>
      <c r="AB14" s="823" t="e">
        <f>AA14*Z14</f>
        <v>#N/A</v>
      </c>
      <c r="AG14" s="261"/>
    </row>
    <row r="15" spans="2:33" customFormat="1" x14ac:dyDescent="0.25">
      <c r="B15" s="1095"/>
      <c r="C15" s="1096" t="s">
        <v>786</v>
      </c>
      <c r="D15" s="1101"/>
      <c r="E15" s="527"/>
      <c r="F15" s="482"/>
      <c r="G15" s="1096"/>
      <c r="H15" s="1098"/>
      <c r="I15" s="1098"/>
      <c r="J15" s="1101"/>
      <c r="K15" s="1096"/>
      <c r="L15" s="1096"/>
      <c r="M15" s="1096"/>
      <c r="N15" s="1096"/>
      <c r="O15" s="1096"/>
      <c r="P15" s="1096"/>
      <c r="Q15" s="1099"/>
      <c r="Y15" s="530"/>
      <c r="AB15" s="790"/>
      <c r="AG15" s="261"/>
    </row>
    <row r="16" spans="2:33" customFormat="1" x14ac:dyDescent="0.25">
      <c r="B16" s="1095"/>
      <c r="C16" s="1096" t="s">
        <v>787</v>
      </c>
      <c r="D16" s="1096"/>
      <c r="E16" s="1020"/>
      <c r="F16" s="858" t="s">
        <v>788</v>
      </c>
      <c r="G16" s="1101"/>
      <c r="H16" s="1098"/>
      <c r="I16" s="1098"/>
      <c r="J16" s="1101"/>
      <c r="K16" s="1096"/>
      <c r="L16" s="1096"/>
      <c r="M16" s="1096"/>
      <c r="N16" s="1457"/>
      <c r="O16" s="1458" t="str">
        <f>IFERROR(AB14,'Hidden Lists and Summaries'!$C$158)</f>
        <v>Error -  Review inputs</v>
      </c>
      <c r="P16" s="1459" t="s">
        <v>90</v>
      </c>
      <c r="Q16" s="1099"/>
      <c r="Y16" s="530"/>
      <c r="AG16" s="261"/>
    </row>
    <row r="17" spans="2:39" ht="15.65" customHeight="1" x14ac:dyDescent="0.25">
      <c r="B17" s="1105"/>
      <c r="C17" s="1106"/>
      <c r="D17" s="1106"/>
      <c r="E17" s="1106"/>
      <c r="F17" s="1106"/>
      <c r="G17" s="1106"/>
      <c r="H17" s="1106"/>
      <c r="I17" s="1106"/>
      <c r="J17" s="1106"/>
      <c r="K17" s="1106"/>
      <c r="L17" s="1106"/>
      <c r="M17" s="1106"/>
      <c r="N17" s="1144" t="s">
        <v>120</v>
      </c>
      <c r="O17" s="1145">
        <f>SUM(O16)</f>
        <v>0</v>
      </c>
      <c r="P17" s="1146" t="s">
        <v>90</v>
      </c>
      <c r="Q17" s="1107"/>
      <c r="Y17" s="1088"/>
      <c r="Z17" s="1079"/>
      <c r="AA17" s="1079"/>
      <c r="AB17" s="1079"/>
      <c r="AC17" s="1079"/>
      <c r="AD17" s="1079"/>
      <c r="AE17" s="1079"/>
      <c r="AF17" s="1079"/>
      <c r="AG17" s="1080"/>
    </row>
    <row r="18" spans="2:39" customFormat="1" ht="12.5" x14ac:dyDescent="0.25">
      <c r="B18" s="1108"/>
      <c r="C18" s="1108"/>
      <c r="D18" s="1108"/>
      <c r="E18" s="1108"/>
      <c r="F18" s="1108"/>
      <c r="G18" s="1108"/>
      <c r="H18" s="1108"/>
      <c r="I18" s="1108"/>
      <c r="J18" s="1108"/>
      <c r="K18" s="1108"/>
      <c r="L18" s="1108"/>
      <c r="M18" s="1108"/>
      <c r="N18" s="1108"/>
      <c r="O18" s="1108"/>
      <c r="P18" s="1108"/>
      <c r="Q18" s="1108"/>
      <c r="Y18" s="263"/>
      <c r="AG18" s="261"/>
    </row>
    <row r="19" spans="2:39" customFormat="1" ht="12.5" x14ac:dyDescent="0.25">
      <c r="B19" s="1081"/>
      <c r="C19" s="1082"/>
      <c r="D19" s="1082"/>
      <c r="E19" s="1082"/>
      <c r="F19" s="1082"/>
      <c r="G19" s="1082"/>
      <c r="H19" s="1082"/>
      <c r="I19" s="1082"/>
      <c r="J19" s="1082"/>
      <c r="K19" s="1082"/>
      <c r="L19" s="1082"/>
      <c r="M19" s="1082"/>
      <c r="N19" s="1082"/>
      <c r="O19" s="1082"/>
      <c r="P19" s="1082"/>
      <c r="Q19" s="1083"/>
      <c r="Y19" s="263"/>
      <c r="AG19" s="261"/>
    </row>
    <row r="20" spans="2:39" customFormat="1" x14ac:dyDescent="0.25">
      <c r="B20" s="1084"/>
      <c r="C20" s="1109" t="s">
        <v>48</v>
      </c>
      <c r="D20" s="1086"/>
      <c r="E20" s="1110"/>
      <c r="F20" s="1110"/>
      <c r="G20" s="1086"/>
      <c r="H20" s="1086"/>
      <c r="I20" s="1086"/>
      <c r="J20" s="1086"/>
      <c r="K20" s="1086"/>
      <c r="L20" s="1086"/>
      <c r="M20" s="1086"/>
      <c r="N20" s="1086"/>
      <c r="O20" s="1086"/>
      <c r="P20" s="1086"/>
      <c r="Q20" s="1087"/>
      <c r="Y20" s="263"/>
      <c r="AG20" s="261"/>
    </row>
    <row r="21" spans="2:39" customFormat="1" x14ac:dyDescent="0.25">
      <c r="B21" s="1089"/>
      <c r="C21" s="1090"/>
      <c r="D21" s="1090"/>
      <c r="E21" s="1091" t="s">
        <v>31</v>
      </c>
      <c r="F21" s="1091" t="s">
        <v>184</v>
      </c>
      <c r="G21" s="1091"/>
      <c r="H21" s="1111"/>
      <c r="I21" s="1111"/>
      <c r="J21" s="1093"/>
      <c r="K21" s="1093"/>
      <c r="L21" s="1093"/>
      <c r="M21" s="1093"/>
      <c r="N21" s="1093"/>
      <c r="O21" s="1091"/>
      <c r="P21" s="1093"/>
      <c r="Q21" s="1112"/>
      <c r="Y21" s="263"/>
      <c r="AG21" s="261"/>
    </row>
    <row r="22" spans="2:39" customFormat="1" x14ac:dyDescent="0.25">
      <c r="B22" s="1095"/>
      <c r="C22" s="1096"/>
      <c r="D22" s="1096"/>
      <c r="E22" s="1096"/>
      <c r="F22" s="1096"/>
      <c r="G22" s="1096"/>
      <c r="H22" s="1098"/>
      <c r="I22" s="1098"/>
      <c r="J22" s="1096"/>
      <c r="K22" s="1096"/>
      <c r="L22" s="1096"/>
      <c r="M22" s="1096"/>
      <c r="N22" s="1096"/>
      <c r="O22" s="1096"/>
      <c r="P22" s="1096"/>
      <c r="Q22" s="1099"/>
      <c r="Y22" s="1103" t="s">
        <v>789</v>
      </c>
      <c r="AG22" s="261"/>
    </row>
    <row r="23" spans="2:39" customFormat="1" x14ac:dyDescent="0.25">
      <c r="B23" s="1095"/>
      <c r="C23" s="1113" t="s">
        <v>790</v>
      </c>
      <c r="D23" s="1096"/>
      <c r="E23" s="532"/>
      <c r="F23" s="559" t="s">
        <v>183</v>
      </c>
      <c r="G23" s="1096"/>
      <c r="H23" s="1098"/>
      <c r="I23" s="1098"/>
      <c r="J23" s="1096"/>
      <c r="K23" s="1096"/>
      <c r="L23" s="1096"/>
      <c r="M23" s="1096"/>
      <c r="N23" s="1113"/>
      <c r="O23" s="1113"/>
      <c r="P23" s="1113"/>
      <c r="Q23" s="1099"/>
      <c r="Y23" s="1114">
        <f>E23*VLOOKUP(F23,massConv[#All],2,FALSE)</f>
        <v>0</v>
      </c>
      <c r="AG23" s="261"/>
    </row>
    <row r="24" spans="2:39" customFormat="1" x14ac:dyDescent="0.25">
      <c r="B24" s="1095"/>
      <c r="C24" s="1113" t="s">
        <v>791</v>
      </c>
      <c r="D24" s="1096"/>
      <c r="E24" s="483"/>
      <c r="F24" s="1096"/>
      <c r="G24" s="1096"/>
      <c r="H24" s="1098"/>
      <c r="I24" s="1098"/>
      <c r="J24" s="1096"/>
      <c r="K24" s="1096"/>
      <c r="L24" s="1096"/>
      <c r="M24" s="1096"/>
      <c r="N24" s="1113"/>
      <c r="O24" s="1113"/>
      <c r="P24" s="1113"/>
      <c r="Q24" s="1099"/>
      <c r="Y24" s="263"/>
      <c r="AG24" s="261"/>
    </row>
    <row r="25" spans="2:39" customFormat="1" x14ac:dyDescent="0.25">
      <c r="B25" s="1095"/>
      <c r="C25" s="1101" t="s">
        <v>188</v>
      </c>
      <c r="D25" s="1096"/>
      <c r="E25" s="1528"/>
      <c r="F25" s="1113"/>
      <c r="G25" s="1096"/>
      <c r="H25" s="1098"/>
      <c r="I25" s="1098"/>
      <c r="J25" s="1096"/>
      <c r="K25" s="1096"/>
      <c r="L25" s="1096"/>
      <c r="M25" s="1096"/>
      <c r="N25" s="1113"/>
      <c r="O25" s="1113"/>
      <c r="P25" s="1113"/>
      <c r="Q25" s="1099"/>
      <c r="Y25" s="263"/>
      <c r="AG25" s="261"/>
    </row>
    <row r="26" spans="2:39" customFormat="1" x14ac:dyDescent="0.25">
      <c r="B26" s="1095"/>
      <c r="C26" s="1101" t="s">
        <v>190</v>
      </c>
      <c r="D26" s="1096"/>
      <c r="E26" s="347"/>
      <c r="F26" s="1113"/>
      <c r="G26" s="1096"/>
      <c r="H26" s="1098"/>
      <c r="I26" s="1098"/>
      <c r="J26" s="1096"/>
      <c r="K26" s="1096"/>
      <c r="L26" s="1096"/>
      <c r="M26" s="1096"/>
      <c r="N26" s="1113"/>
      <c r="O26" s="1113"/>
      <c r="P26" s="1113"/>
      <c r="Q26" s="1099"/>
      <c r="Y26" s="263"/>
      <c r="AG26" s="261"/>
    </row>
    <row r="27" spans="2:39" customFormat="1" x14ac:dyDescent="0.25">
      <c r="B27" s="1105"/>
      <c r="C27" s="1115"/>
      <c r="D27" s="1106"/>
      <c r="E27" s="1106"/>
      <c r="F27" s="1106"/>
      <c r="G27" s="1106"/>
      <c r="H27" s="1115"/>
      <c r="I27" s="1115"/>
      <c r="J27" s="1106"/>
      <c r="K27" s="1106"/>
      <c r="L27" s="1106"/>
      <c r="M27" s="1106"/>
      <c r="N27" s="1116"/>
      <c r="O27" s="1117"/>
      <c r="P27" s="1117"/>
      <c r="Q27" s="1107"/>
      <c r="Y27" s="263"/>
      <c r="AG27" s="261"/>
    </row>
    <row r="28" spans="2:39" s="1164" customFormat="1" ht="15.65" customHeight="1" x14ac:dyDescent="0.25">
      <c r="B28" s="1108"/>
      <c r="C28" s="1108"/>
      <c r="D28" s="1108"/>
      <c r="E28" s="1108"/>
      <c r="F28" s="1108"/>
      <c r="G28" s="1108"/>
      <c r="H28" s="1102"/>
      <c r="I28" s="1102"/>
      <c r="J28" s="1108"/>
      <c r="K28" s="1108"/>
      <c r="L28" s="1108"/>
      <c r="M28" s="1108"/>
      <c r="N28" s="1163"/>
      <c r="O28" s="1108"/>
      <c r="P28" s="1108"/>
      <c r="Q28" s="1108"/>
      <c r="Y28" s="1165"/>
      <c r="Z28" s="1102"/>
      <c r="AA28" s="1102"/>
      <c r="AB28" s="1102"/>
      <c r="AC28" s="1102"/>
      <c r="AD28" s="1102"/>
      <c r="AE28" s="1102"/>
      <c r="AF28" s="1102"/>
      <c r="AG28" s="1166"/>
    </row>
    <row r="29" spans="2:39" ht="15.65" customHeight="1" x14ac:dyDescent="0.25">
      <c r="B29" s="1081"/>
      <c r="C29" s="1082"/>
      <c r="D29" s="1082"/>
      <c r="E29" s="1082"/>
      <c r="F29" s="1082"/>
      <c r="G29" s="1082"/>
      <c r="H29" s="1082"/>
      <c r="I29" s="1082"/>
      <c r="J29" s="1082"/>
      <c r="K29" s="1082"/>
      <c r="L29" s="1082"/>
      <c r="M29" s="1082"/>
      <c r="N29" s="1082"/>
      <c r="O29" s="1082"/>
      <c r="P29" s="1082"/>
      <c r="Q29" s="1083"/>
      <c r="Y29" s="1088"/>
      <c r="Z29" s="1079"/>
      <c r="AA29" s="1079"/>
      <c r="AB29" s="1079"/>
      <c r="AC29" s="1079"/>
      <c r="AD29" s="1079"/>
      <c r="AE29" s="1079"/>
      <c r="AF29" s="1079"/>
      <c r="AG29" s="1080"/>
    </row>
    <row r="30" spans="2:39" ht="15.65" customHeight="1" x14ac:dyDescent="0.25">
      <c r="B30" s="1084"/>
      <c r="C30" s="1109" t="s">
        <v>197</v>
      </c>
      <c r="D30" s="1086"/>
      <c r="E30" s="1086"/>
      <c r="F30" s="1086"/>
      <c r="G30" s="1086"/>
      <c r="H30" s="1086"/>
      <c r="I30" s="1915" t="s">
        <v>792</v>
      </c>
      <c r="J30" s="1086"/>
      <c r="K30" s="1086"/>
      <c r="L30" s="1086"/>
      <c r="M30" s="1086"/>
      <c r="N30" s="1086"/>
      <c r="O30" s="1086"/>
      <c r="P30" s="1086"/>
      <c r="Q30" s="1087"/>
      <c r="Y30" s="1088"/>
      <c r="Z30" s="1079"/>
      <c r="AA30" s="1079"/>
      <c r="AB30" s="1079"/>
      <c r="AC30" s="1079"/>
      <c r="AD30" s="1079"/>
      <c r="AE30" s="1079"/>
      <c r="AF30" s="1079"/>
      <c r="AG30" s="1080"/>
    </row>
    <row r="31" spans="2:39" ht="15.65" customHeight="1" x14ac:dyDescent="0.25">
      <c r="B31" s="1089"/>
      <c r="C31" s="1090"/>
      <c r="D31" s="1090"/>
      <c r="E31" s="1091" t="s">
        <v>198</v>
      </c>
      <c r="F31" s="1091" t="s">
        <v>199</v>
      </c>
      <c r="G31" s="1091" t="s">
        <v>200</v>
      </c>
      <c r="H31" s="1091" t="s">
        <v>184</v>
      </c>
      <c r="I31" s="1916"/>
      <c r="J31" s="1120" t="s">
        <v>201</v>
      </c>
      <c r="K31" s="1090"/>
      <c r="L31" s="1090"/>
      <c r="M31" s="1090"/>
      <c r="N31" s="1090"/>
      <c r="O31" s="1091" t="s">
        <v>82</v>
      </c>
      <c r="P31" s="1090"/>
      <c r="Q31" s="1094"/>
      <c r="Y31" s="1121" t="s">
        <v>202</v>
      </c>
      <c r="Z31" s="1122" t="s">
        <v>203</v>
      </c>
      <c r="AA31" s="1122" t="s">
        <v>204</v>
      </c>
      <c r="AB31" s="1122" t="s">
        <v>205</v>
      </c>
      <c r="AC31" s="1122" t="s">
        <v>206</v>
      </c>
      <c r="AD31" s="1122" t="s">
        <v>207</v>
      </c>
      <c r="AE31" s="1123" t="s">
        <v>208</v>
      </c>
      <c r="AF31" s="1079"/>
      <c r="AG31" s="1080"/>
    </row>
    <row r="32" spans="2:39" ht="15.65" customHeight="1" x14ac:dyDescent="0.25">
      <c r="B32" s="1095"/>
      <c r="C32" s="1096"/>
      <c r="D32" s="1096"/>
      <c r="E32" s="1096"/>
      <c r="F32" s="1096"/>
      <c r="G32" s="1096"/>
      <c r="H32" s="1096"/>
      <c r="I32" s="1228"/>
      <c r="J32" s="1193"/>
      <c r="K32" s="1096"/>
      <c r="L32" s="1096"/>
      <c r="M32" s="1096"/>
      <c r="N32" s="1125"/>
      <c r="O32" s="1126" t="s">
        <v>257</v>
      </c>
      <c r="P32" s="1126"/>
      <c r="Q32" s="1460"/>
      <c r="Y32" s="1121" t="s">
        <v>210</v>
      </c>
      <c r="Z32" s="1122" t="s">
        <v>210</v>
      </c>
      <c r="AA32" s="1122" t="s">
        <v>210</v>
      </c>
      <c r="AB32" s="1122" t="s">
        <v>128</v>
      </c>
      <c r="AC32" s="1128" t="s">
        <v>211</v>
      </c>
      <c r="AD32" s="1122" t="s">
        <v>84</v>
      </c>
      <c r="AE32" s="1123" t="s">
        <v>212</v>
      </c>
      <c r="AF32" s="1079"/>
      <c r="AG32" s="1080"/>
      <c r="AH32" s="1918" t="s">
        <v>189</v>
      </c>
      <c r="AI32" s="1919"/>
      <c r="AJ32" s="1919"/>
      <c r="AK32" s="1919"/>
      <c r="AL32" s="1919"/>
      <c r="AM32" s="1919"/>
    </row>
    <row r="33" spans="2:39" ht="15.65" customHeight="1" x14ac:dyDescent="0.25">
      <c r="B33" s="1095"/>
      <c r="C33" s="1113" t="s">
        <v>423</v>
      </c>
      <c r="D33" s="1096"/>
      <c r="E33" s="1052"/>
      <c r="F33" s="1055"/>
      <c r="G33" s="807"/>
      <c r="H33" s="498"/>
      <c r="I33" s="949"/>
      <c r="J33" s="1461"/>
      <c r="K33" s="1129"/>
      <c r="L33" s="1098"/>
      <c r="M33" s="1098"/>
      <c r="N33" s="1130"/>
      <c r="O33" s="1131">
        <f>IF(AND(F33="",G33="",H33="",I33=""),0,IFERROR(AA33*AB33+AD33*'Key Values'!$C$149,'Hidden Lists and Summaries'!$C$158))</f>
        <v>0</v>
      </c>
      <c r="P33" s="1132" t="s">
        <v>90</v>
      </c>
      <c r="Q33" s="1099"/>
      <c r="Y33" s="1133" t="e">
        <f>IF(OR(($F33='Key Values'!$B$26),($F33='Key Values'!$B$27)),0,VLOOKUP(iq_location,TapWaterEmbodiedEmissions[#All],2,FALSE))</f>
        <v>#N/A</v>
      </c>
      <c r="Z33" s="1134" t="e">
        <f>VLOOKUP(F33,WaterEmbodiedEmissions[#All],2,FALSE)</f>
        <v>#N/A</v>
      </c>
      <c r="AA33" s="1134" t="e">
        <f>IF(I33&lt;&gt;"",I33,Y33+Z33)</f>
        <v>#N/A</v>
      </c>
      <c r="AB33" s="1135" t="e">
        <f>VLOOKUP(H33,Table13[#All], 2, FALSE)*G33</f>
        <v>#N/A</v>
      </c>
      <c r="AC33" s="1079" cm="1">
        <f t="array" ref="AC33">IF(OR(($F33='Key Values'!$B$26),($F33='Key Values'!$B$27)),PumpedWaterSupplyCosts[Pumping to Site (kWh/m3/km)],0)</f>
        <v>0</v>
      </c>
      <c r="AD33" s="1079" t="e">
        <f>AE33*AC33*J33</f>
        <v>#N/A</v>
      </c>
      <c r="AE33" s="1080" t="e">
        <f>G33*VLOOKUP(H33,Table13[#All], 3,FALSE)</f>
        <v>#N/A</v>
      </c>
      <c r="AF33" s="1079"/>
      <c r="AG33" s="1080"/>
      <c r="AH33" s="1918"/>
      <c r="AI33" s="1919"/>
      <c r="AJ33" s="1919"/>
      <c r="AK33" s="1919"/>
      <c r="AL33" s="1919"/>
      <c r="AM33" s="1919"/>
    </row>
    <row r="34" spans="2:39" ht="15.65" customHeight="1" x14ac:dyDescent="0.25">
      <c r="B34" s="1095"/>
      <c r="C34" s="1113" t="s">
        <v>424</v>
      </c>
      <c r="D34" s="1096"/>
      <c r="E34" s="1053"/>
      <c r="F34" s="1056"/>
      <c r="G34" s="809"/>
      <c r="H34" s="799"/>
      <c r="I34" s="951"/>
      <c r="J34" s="1461"/>
      <c r="K34" s="1129"/>
      <c r="L34" s="1098"/>
      <c r="M34" s="1098"/>
      <c r="N34" s="1130"/>
      <c r="O34" s="1131">
        <f>IF(AND(F34="",G34="",H34="",I34=""),0,IFERROR(AA34*AB34+AD34*'Key Values'!$C$149,'Hidden Lists and Summaries'!$C$158))</f>
        <v>0</v>
      </c>
      <c r="P34" s="1132" t="s">
        <v>90</v>
      </c>
      <c r="Q34" s="1099"/>
      <c r="Y34" s="1136" t="e">
        <f>IF(OR(($F34='Key Values'!$B$26),($F34='Key Values'!$B$27)),0,VLOOKUP(iq_location,TapWaterEmbodiedEmissions[#All],2,FALSE))</f>
        <v>#N/A</v>
      </c>
      <c r="Z34" s="1137" t="e">
        <f>VLOOKUP(F34,WaterEmbodiedEmissions[#All],2,FALSE)</f>
        <v>#N/A</v>
      </c>
      <c r="AA34" s="1137" t="e">
        <f>IF(I34&lt;&gt;"",I34,Y34+Z34)</f>
        <v>#N/A</v>
      </c>
      <c r="AB34" s="1138" t="e">
        <f>VLOOKUP(H34,Table13[#All], 2, FALSE)*G34</f>
        <v>#N/A</v>
      </c>
      <c r="AC34" s="1079" cm="1">
        <f t="array" ref="AC34">IF(OR(($F34='Key Values'!$B$26),($F34='Key Values'!$B$27)),PumpedWaterSupplyCosts[Pumping to Site (kWh/m3/km)],0)</f>
        <v>0</v>
      </c>
      <c r="AD34" s="1079" t="e">
        <f>AE34*AC34*J34</f>
        <v>#N/A</v>
      </c>
      <c r="AE34" s="1080" t="e">
        <f>G34*VLOOKUP(H34,Table13[#All], 3,FALSE)</f>
        <v>#N/A</v>
      </c>
      <c r="AF34" s="1079"/>
      <c r="AG34" s="1080"/>
      <c r="AH34" s="1918" t="s">
        <v>191</v>
      </c>
      <c r="AI34" s="1919" t="s">
        <v>192</v>
      </c>
      <c r="AJ34" s="1919" t="s">
        <v>193</v>
      </c>
      <c r="AK34" s="1920" t="s">
        <v>194</v>
      </c>
      <c r="AL34" s="1917" t="s">
        <v>195</v>
      </c>
      <c r="AM34" s="1917" t="s">
        <v>196</v>
      </c>
    </row>
    <row r="35" spans="2:39" ht="15.65" customHeight="1" x14ac:dyDescent="0.25">
      <c r="B35" s="1095"/>
      <c r="C35" s="1113" t="s">
        <v>425</v>
      </c>
      <c r="D35" s="1096"/>
      <c r="E35" s="1054"/>
      <c r="F35" s="1057"/>
      <c r="G35" s="810"/>
      <c r="H35" s="810"/>
      <c r="I35" s="950"/>
      <c r="J35" s="1461"/>
      <c r="K35" s="1129"/>
      <c r="L35" s="1098"/>
      <c r="M35" s="1098"/>
      <c r="N35" s="1130"/>
      <c r="O35" s="1131">
        <f>IF(AND(F35="",G35="",H35="",I35=""),0,IFERROR(AA35*AB35+AD35*'Key Values'!$C$149,'Hidden Lists and Summaries'!$C$158))</f>
        <v>0</v>
      </c>
      <c r="P35" s="1132" t="s">
        <v>90</v>
      </c>
      <c r="Q35" s="1099"/>
      <c r="Y35" s="1136" t="e">
        <f>IF(OR(($F35='Key Values'!$B$26),($F35='Key Values'!$B$27)),0,VLOOKUP(iq_location,TapWaterEmbodiedEmissions[#All],2,FALSE))</f>
        <v>#N/A</v>
      </c>
      <c r="Z35" s="1140" t="e">
        <f>VLOOKUP(F35,WaterEmbodiedEmissions[#All],2,FALSE)</f>
        <v>#N/A</v>
      </c>
      <c r="AA35" s="1137" t="e">
        <f>IF(I35&lt;&gt;"",I35,Y35+Z35)</f>
        <v>#N/A</v>
      </c>
      <c r="AB35" s="1141" t="e">
        <f>VLOOKUP(H35,Table13[#All], 2, FALSE)*G35</f>
        <v>#N/A</v>
      </c>
      <c r="AC35" s="1142" cm="1">
        <f t="array" ref="AC35">IF(OR(($F35='Key Values'!$B$26),($F35='Key Values'!$B$27)),PumpedWaterSupplyCosts[Pumping to Site (kWh/m3/km)],0)</f>
        <v>0</v>
      </c>
      <c r="AD35" s="1142" t="e">
        <f>AE35*AC35*J35</f>
        <v>#N/A</v>
      </c>
      <c r="AE35" s="1143" t="e">
        <f>G35*VLOOKUP(H35,Table13[#All], 3,FALSE)</f>
        <v>#N/A</v>
      </c>
      <c r="AF35" s="1079"/>
      <c r="AG35" s="1080"/>
      <c r="AH35" s="1918"/>
      <c r="AI35" s="1919"/>
      <c r="AJ35" s="1919"/>
      <c r="AK35" s="1920"/>
      <c r="AL35" s="1917"/>
      <c r="AM35" s="1917"/>
    </row>
    <row r="36" spans="2:39" ht="15.65" customHeight="1" x14ac:dyDescent="0.25">
      <c r="B36" s="1105"/>
      <c r="C36" s="1106"/>
      <c r="D36" s="1106"/>
      <c r="E36" s="1106"/>
      <c r="F36" s="1106"/>
      <c r="G36" s="1106"/>
      <c r="H36" s="1115"/>
      <c r="I36" s="1115"/>
      <c r="J36" s="1106"/>
      <c r="K36" s="1106"/>
      <c r="L36" s="1106"/>
      <c r="M36" s="1106"/>
      <c r="N36" s="1144" t="s">
        <v>120</v>
      </c>
      <c r="O36" s="1145">
        <f>SUM(O33:O35)</f>
        <v>0</v>
      </c>
      <c r="P36" s="1146" t="s">
        <v>90</v>
      </c>
      <c r="Q36" s="1107"/>
      <c r="Y36" s="1147"/>
      <c r="Z36" s="1079"/>
      <c r="AA36" s="1148"/>
      <c r="AB36" s="1079"/>
      <c r="AC36" s="1079"/>
      <c r="AD36" s="1079"/>
      <c r="AE36" s="1079"/>
      <c r="AF36" s="1079"/>
      <c r="AG36" s="1080"/>
      <c r="AH36" s="1147"/>
      <c r="AI36" s="1148">
        <f>O36</f>
        <v>0</v>
      </c>
      <c r="AJ36" s="1148"/>
      <c r="AK36" s="1148" t="str">
        <f>'Hidden Lists and Summaries'!$B$5</f>
        <v>Embodied (Upstream)</v>
      </c>
      <c r="AL36" s="1148"/>
      <c r="AM36" s="1149" t="s">
        <v>214</v>
      </c>
    </row>
    <row r="37" spans="2:39" ht="15.65" customHeight="1" x14ac:dyDescent="0.25">
      <c r="B37" s="1118"/>
      <c r="C37" s="1118"/>
      <c r="D37" s="1118"/>
      <c r="E37" s="1118"/>
      <c r="F37" s="1118"/>
      <c r="G37" s="1118"/>
      <c r="H37" s="1118"/>
      <c r="I37" s="1118"/>
      <c r="J37" s="1118"/>
      <c r="K37" s="1118"/>
      <c r="L37" s="1118"/>
      <c r="M37" s="1118"/>
      <c r="N37" s="1118"/>
      <c r="O37" s="1118"/>
      <c r="P37" s="1118"/>
      <c r="Q37" s="1118"/>
      <c r="Y37" s="1088"/>
      <c r="Z37" s="1079"/>
      <c r="AA37" s="1079"/>
      <c r="AB37" s="1079"/>
      <c r="AC37" s="1079"/>
      <c r="AD37" s="1079"/>
      <c r="AE37" s="1079"/>
      <c r="AF37" s="1079"/>
      <c r="AG37" s="1080"/>
      <c r="AH37" s="1088"/>
      <c r="AI37" s="1079"/>
      <c r="AJ37" s="1079"/>
      <c r="AK37" s="1079"/>
      <c r="AL37" s="1079"/>
      <c r="AM37" s="1080"/>
    </row>
    <row r="38" spans="2:39" ht="15.65" customHeight="1" x14ac:dyDescent="0.25">
      <c r="B38" s="1081"/>
      <c r="C38" s="1082"/>
      <c r="D38" s="1082"/>
      <c r="E38" s="1082"/>
      <c r="F38" s="1150" t="s">
        <v>793</v>
      </c>
      <c r="G38" s="1082"/>
      <c r="H38" s="1082"/>
      <c r="I38" s="1082"/>
      <c r="J38" s="1082"/>
      <c r="K38" s="1082"/>
      <c r="L38" s="1082"/>
      <c r="M38" s="1082"/>
      <c r="N38" s="1082"/>
      <c r="O38" s="1082"/>
      <c r="P38" s="1082"/>
      <c r="Q38" s="1083"/>
      <c r="Y38" s="1088"/>
      <c r="Z38" s="1079"/>
      <c r="AA38" s="1079"/>
      <c r="AB38" s="1079"/>
      <c r="AC38" s="1079"/>
      <c r="AD38" s="1079"/>
      <c r="AE38" s="1079"/>
      <c r="AF38" s="1079"/>
      <c r="AG38" s="1080"/>
      <c r="AH38" s="1088"/>
      <c r="AI38" s="1079"/>
      <c r="AJ38" s="1079"/>
      <c r="AK38" s="1079"/>
      <c r="AL38" s="1079"/>
      <c r="AM38" s="1080"/>
    </row>
    <row r="39" spans="2:39" ht="15.65" customHeight="1" x14ac:dyDescent="0.25">
      <c r="B39" s="1084"/>
      <c r="C39" s="1109" t="s">
        <v>217</v>
      </c>
      <c r="D39" s="1151"/>
      <c r="E39" s="1151"/>
      <c r="F39" s="1151"/>
      <c r="G39" s="1151"/>
      <c r="H39" s="1915" t="s">
        <v>794</v>
      </c>
      <c r="I39" s="1152"/>
      <c r="J39" s="1152"/>
      <c r="K39" s="1151"/>
      <c r="L39" s="1151"/>
      <c r="M39" s="1151"/>
      <c r="N39" s="1151"/>
      <c r="O39" s="1151"/>
      <c r="P39" s="1151"/>
      <c r="Q39" s="1087"/>
      <c r="Y39" s="1088"/>
      <c r="Z39" s="1079"/>
      <c r="AA39" s="1079"/>
      <c r="AB39" s="1079"/>
      <c r="AC39" s="1079"/>
      <c r="AD39" s="1079"/>
      <c r="AE39" s="1079"/>
      <c r="AF39" s="1079"/>
      <c r="AG39" s="1080"/>
      <c r="AH39" s="1088"/>
      <c r="AI39" s="1079"/>
      <c r="AJ39" s="1079"/>
      <c r="AK39" s="1079"/>
      <c r="AL39" s="1079"/>
      <c r="AM39" s="1080"/>
    </row>
    <row r="40" spans="2:39" ht="15.65" customHeight="1" x14ac:dyDescent="0.25">
      <c r="B40" s="1089"/>
      <c r="C40" s="1090"/>
      <c r="D40" s="1090"/>
      <c r="E40" s="1091" t="s">
        <v>218</v>
      </c>
      <c r="F40" s="1091" t="s">
        <v>200</v>
      </c>
      <c r="G40" s="1091" t="s">
        <v>184</v>
      </c>
      <c r="H40" s="1916"/>
      <c r="I40" s="1111" t="s">
        <v>201</v>
      </c>
      <c r="J40" s="1092"/>
      <c r="K40" s="1090"/>
      <c r="L40" s="1090"/>
      <c r="M40" s="1090"/>
      <c r="N40" s="1090"/>
      <c r="O40" s="1091" t="s">
        <v>82</v>
      </c>
      <c r="P40" s="1090"/>
      <c r="Q40" s="1094"/>
      <c r="Y40" s="1153" t="s">
        <v>219</v>
      </c>
      <c r="Z40" s="1154" t="s">
        <v>206</v>
      </c>
      <c r="AA40" s="1122" t="s">
        <v>220</v>
      </c>
      <c r="AB40" s="1122" t="s">
        <v>221</v>
      </c>
      <c r="AC40" s="1122" t="s">
        <v>222</v>
      </c>
      <c r="AD40" s="1079"/>
      <c r="AE40" s="1079"/>
      <c r="AF40" s="1079"/>
      <c r="AG40" s="1080"/>
      <c r="AH40" s="1088"/>
      <c r="AI40" s="1079"/>
      <c r="AJ40" s="1079"/>
      <c r="AK40" s="1079"/>
      <c r="AL40" s="1079"/>
      <c r="AM40" s="1080"/>
    </row>
    <row r="41" spans="2:39" ht="15.65" customHeight="1" x14ac:dyDescent="0.25">
      <c r="B41" s="1095"/>
      <c r="C41" s="1096"/>
      <c r="D41" s="1096"/>
      <c r="E41" s="1096"/>
      <c r="F41" s="1096"/>
      <c r="G41" s="1096"/>
      <c r="H41" s="1098"/>
      <c r="I41" s="1098"/>
      <c r="J41" s="1113"/>
      <c r="K41" s="1113"/>
      <c r="L41" s="1113"/>
      <c r="M41" s="1113"/>
      <c r="N41" s="1125"/>
      <c r="O41" s="1126" t="s">
        <v>257</v>
      </c>
      <c r="P41" s="1126"/>
      <c r="Q41" s="1460"/>
      <c r="Y41" s="1156" t="s">
        <v>223</v>
      </c>
      <c r="Z41" s="1157" t="s">
        <v>211</v>
      </c>
      <c r="AA41" s="1122" t="s">
        <v>84</v>
      </c>
      <c r="AB41" s="1462"/>
      <c r="AC41" s="1122" t="s">
        <v>224</v>
      </c>
      <c r="AD41" s="1079"/>
      <c r="AE41" s="1079"/>
      <c r="AF41" s="1079"/>
      <c r="AG41" s="1080"/>
      <c r="AH41" s="1088"/>
      <c r="AI41" s="1079"/>
      <c r="AJ41" s="1079"/>
      <c r="AK41" s="1079"/>
      <c r="AL41" s="1079"/>
      <c r="AM41" s="1080"/>
    </row>
    <row r="42" spans="2:39" ht="15.65" customHeight="1" x14ac:dyDescent="0.25">
      <c r="B42" s="1095"/>
      <c r="C42" s="1113" t="s">
        <v>502</v>
      </c>
      <c r="D42" s="1096"/>
      <c r="E42" s="353"/>
      <c r="F42" s="354"/>
      <c r="G42" s="503"/>
      <c r="H42" s="1317"/>
      <c r="I42" s="999"/>
      <c r="J42" s="1158"/>
      <c r="K42" s="1113"/>
      <c r="L42" s="1113"/>
      <c r="M42" s="1113"/>
      <c r="N42" s="1130"/>
      <c r="O42" s="1131">
        <f>IF(AND(F42="",G42="",I42=""),0,IFERROR(IF(H42&lt;&gt;"",AC42*AB42,AA42*'Key Values'!$C$149),'Hidden Lists and Summaries'!$C$158))</f>
        <v>0</v>
      </c>
      <c r="P42" s="1132" t="s">
        <v>90</v>
      </c>
      <c r="Q42" s="1099"/>
      <c r="Y42" s="1463">
        <f>'Key Values'!$C$31</f>
        <v>9.2999999999999999E-2</v>
      </c>
      <c r="Z42" s="1464">
        <f>'Key Values'!$D$31</f>
        <v>3.6700000000000003E-2</v>
      </c>
      <c r="AA42" s="1159" t="e">
        <f>AB42*Y42+AB42*I42*Z42</f>
        <v>#N/A</v>
      </c>
      <c r="AB42" s="1160" t="e">
        <f>VLOOKUP(G42,Table13[#All], 3, FALSE)*F42</f>
        <v>#N/A</v>
      </c>
      <c r="AC42" s="1079">
        <f>H42</f>
        <v>0</v>
      </c>
      <c r="AD42" s="1088"/>
      <c r="AE42" s="1079"/>
      <c r="AF42" s="1079"/>
      <c r="AG42" s="1080"/>
      <c r="AH42" s="1088"/>
      <c r="AI42" s="1079"/>
      <c r="AJ42" s="1079"/>
      <c r="AK42" s="1079"/>
      <c r="AL42" s="1079"/>
      <c r="AM42" s="1080"/>
    </row>
    <row r="43" spans="2:39" ht="15.65" customHeight="1" x14ac:dyDescent="0.25">
      <c r="B43" s="1105"/>
      <c r="C43" s="1106"/>
      <c r="D43" s="1106"/>
      <c r="E43" s="1106"/>
      <c r="F43" s="1106"/>
      <c r="G43" s="1106"/>
      <c r="H43" s="1161"/>
      <c r="I43" s="1115"/>
      <c r="J43" s="1161"/>
      <c r="K43" s="1161"/>
      <c r="L43" s="1161"/>
      <c r="M43" s="1161"/>
      <c r="N43" s="1144" t="s">
        <v>120</v>
      </c>
      <c r="O43" s="1145">
        <f>SUM(O42)</f>
        <v>0</v>
      </c>
      <c r="P43" s="1146" t="s">
        <v>90</v>
      </c>
      <c r="Q43" s="1107"/>
      <c r="Y43" s="1088"/>
      <c r="Z43" s="1079"/>
      <c r="AA43" s="1079"/>
      <c r="AB43" s="1079"/>
      <c r="AC43" s="1148"/>
      <c r="AD43" s="1079"/>
      <c r="AE43" s="1079"/>
      <c r="AF43" s="1079"/>
      <c r="AG43" s="1080"/>
      <c r="AH43" s="1088"/>
      <c r="AI43" s="1079">
        <f>O43</f>
        <v>0</v>
      </c>
      <c r="AJ43" s="1079"/>
      <c r="AK43" s="1079" t="str">
        <f>'Hidden Lists and Summaries'!$B$5</f>
        <v>Embodied (Upstream)</v>
      </c>
      <c r="AL43" s="1079"/>
      <c r="AM43" s="1080" t="s">
        <v>214</v>
      </c>
    </row>
    <row r="44" spans="2:39" ht="15.65" customHeight="1" x14ac:dyDescent="0.25">
      <c r="B44" s="1118"/>
      <c r="C44" s="1118"/>
      <c r="D44" s="1118"/>
      <c r="E44" s="1118"/>
      <c r="F44" s="1118"/>
      <c r="G44" s="1118"/>
      <c r="H44" s="1118"/>
      <c r="I44" s="1118"/>
      <c r="J44" s="1118"/>
      <c r="K44" s="1118"/>
      <c r="L44" s="1118"/>
      <c r="M44" s="1118"/>
      <c r="N44" s="1118"/>
      <c r="O44" s="1118"/>
      <c r="P44" s="1118"/>
      <c r="Q44" s="1118"/>
      <c r="Y44" s="1088"/>
      <c r="Z44" s="1079"/>
      <c r="AA44" s="1079"/>
      <c r="AB44" s="1079"/>
      <c r="AC44" s="1079"/>
      <c r="AD44" s="1079"/>
      <c r="AE44" s="1079"/>
      <c r="AF44" s="1079"/>
      <c r="AG44" s="1080"/>
      <c r="AH44" s="1088"/>
      <c r="AI44" s="1079"/>
      <c r="AJ44" s="1079"/>
      <c r="AK44" s="1079"/>
      <c r="AL44" s="1079"/>
      <c r="AM44" s="1080"/>
    </row>
    <row r="45" spans="2:39" ht="15.65" customHeight="1" x14ac:dyDescent="0.25">
      <c r="B45" s="1081"/>
      <c r="C45" s="1082"/>
      <c r="D45" s="1082"/>
      <c r="E45" s="1082"/>
      <c r="F45" s="1082"/>
      <c r="G45" s="1082"/>
      <c r="H45" s="1082"/>
      <c r="I45" s="1082"/>
      <c r="J45" s="1082"/>
      <c r="K45" s="1082"/>
      <c r="L45" s="1082"/>
      <c r="M45" s="1082"/>
      <c r="N45" s="1082"/>
      <c r="O45" s="1082"/>
      <c r="P45" s="1082"/>
      <c r="Q45" s="1083"/>
      <c r="Y45" s="1088"/>
      <c r="Z45" s="1079"/>
      <c r="AA45" s="1079"/>
      <c r="AB45" s="1079"/>
      <c r="AC45" s="1079"/>
      <c r="AD45" s="1079"/>
      <c r="AE45" s="1079"/>
      <c r="AF45" s="1079"/>
      <c r="AG45" s="1080"/>
      <c r="AH45" s="1088"/>
      <c r="AI45" s="1079"/>
      <c r="AJ45" s="1079"/>
      <c r="AK45" s="1079"/>
      <c r="AL45" s="1079"/>
      <c r="AM45" s="1080"/>
    </row>
    <row r="46" spans="2:39" ht="15" customHeight="1" x14ac:dyDescent="0.25">
      <c r="B46" s="1084"/>
      <c r="C46" s="1109" t="s">
        <v>227</v>
      </c>
      <c r="D46" s="1086"/>
      <c r="E46" s="1086"/>
      <c r="F46" s="1086"/>
      <c r="G46" s="1086"/>
      <c r="H46" s="1086"/>
      <c r="I46" s="1086"/>
      <c r="J46" s="1086"/>
      <c r="K46" s="1086"/>
      <c r="L46" s="1086"/>
      <c r="M46" s="1086"/>
      <c r="N46" s="1086"/>
      <c r="O46" s="1086"/>
      <c r="P46" s="1086"/>
      <c r="Q46" s="1087"/>
      <c r="Y46" s="1088"/>
      <c r="Z46" s="1079"/>
      <c r="AA46" s="1079"/>
      <c r="AB46" s="1079"/>
      <c r="AC46" s="1079"/>
      <c r="AD46" s="1079"/>
      <c r="AE46" s="1079"/>
      <c r="AF46" s="1079"/>
      <c r="AG46" s="1080"/>
      <c r="AH46" s="1088"/>
      <c r="AI46" s="1079"/>
      <c r="AJ46" s="1079"/>
      <c r="AK46" s="1079"/>
      <c r="AL46" s="1079"/>
      <c r="AM46" s="1080"/>
    </row>
    <row r="47" spans="2:39" ht="15.65" customHeight="1" x14ac:dyDescent="0.25">
      <c r="B47" s="1089"/>
      <c r="C47" s="1090"/>
      <c r="D47" s="1090"/>
      <c r="E47" s="1091" t="s">
        <v>80</v>
      </c>
      <c r="F47" s="1091" t="s">
        <v>81</v>
      </c>
      <c r="G47" s="1092"/>
      <c r="H47" s="1092"/>
      <c r="I47" s="1092"/>
      <c r="J47" s="1093"/>
      <c r="K47" s="1090"/>
      <c r="L47" s="1090"/>
      <c r="M47" s="1090"/>
      <c r="N47" s="1090"/>
      <c r="O47" s="1091" t="s">
        <v>82</v>
      </c>
      <c r="P47" s="1090"/>
      <c r="Q47" s="1094"/>
      <c r="Y47" s="1153" t="s">
        <v>228</v>
      </c>
      <c r="Z47" s="1153" t="s">
        <v>229</v>
      </c>
      <c r="AA47" s="1154" t="s">
        <v>230</v>
      </c>
      <c r="AB47" s="1154" t="s">
        <v>231</v>
      </c>
      <c r="AC47" s="1154" t="s">
        <v>232</v>
      </c>
      <c r="AD47" s="1168" t="s">
        <v>233</v>
      </c>
      <c r="AE47" s="1168" t="s">
        <v>234</v>
      </c>
      <c r="AF47" s="1079"/>
      <c r="AG47" s="1080"/>
      <c r="AH47" s="1088"/>
      <c r="AI47" s="1079"/>
      <c r="AJ47" s="1079"/>
      <c r="AK47" s="1079"/>
      <c r="AL47" s="1079"/>
      <c r="AM47" s="1080"/>
    </row>
    <row r="48" spans="2:39" ht="15.65" customHeight="1" x14ac:dyDescent="0.25">
      <c r="B48" s="1170"/>
      <c r="C48" s="1171"/>
      <c r="D48" s="1171"/>
      <c r="E48" s="1172"/>
      <c r="F48" s="1172"/>
      <c r="G48" s="1173"/>
      <c r="H48" s="1173"/>
      <c r="I48" s="1173"/>
      <c r="J48" s="1174"/>
      <c r="K48" s="1171"/>
      <c r="L48" s="1171"/>
      <c r="M48" s="1171"/>
      <c r="N48" s="1171"/>
      <c r="O48" s="1172"/>
      <c r="P48" s="1171"/>
      <c r="Q48" s="1175"/>
      <c r="Y48" s="1156"/>
      <c r="Z48" s="1156" t="s">
        <v>84</v>
      </c>
      <c r="AA48" s="1154" t="s">
        <v>84</v>
      </c>
      <c r="AB48" s="1157"/>
      <c r="AC48" s="1157"/>
      <c r="AD48" s="1168"/>
      <c r="AE48" s="1168"/>
      <c r="AF48" s="1079"/>
      <c r="AG48" s="1080"/>
      <c r="AH48" s="1088"/>
      <c r="AI48" s="1079"/>
      <c r="AJ48" s="1079"/>
      <c r="AK48" s="1079"/>
      <c r="AL48" s="1079"/>
      <c r="AM48" s="1080"/>
    </row>
    <row r="49" spans="1:39" ht="15.65" customHeight="1" x14ac:dyDescent="0.25">
      <c r="B49" s="1095"/>
      <c r="C49" s="1189" t="s">
        <v>235</v>
      </c>
      <c r="D49" s="1096"/>
      <c r="E49" s="552"/>
      <c r="F49" s="906" t="s">
        <v>86</v>
      </c>
      <c r="G49" s="75"/>
      <c r="H49" s="1098"/>
      <c r="I49" s="1098"/>
      <c r="J49" s="1096"/>
      <c r="K49" s="1096"/>
      <c r="L49" s="1096"/>
      <c r="M49" s="1096"/>
      <c r="N49" s="1096"/>
      <c r="O49" s="1096"/>
      <c r="P49" s="1096"/>
      <c r="Q49" s="1099"/>
      <c r="Y49" s="554" t="s">
        <v>120</v>
      </c>
      <c r="Z49" s="104">
        <f>E49*VLOOKUP(F49,EnergyConversionTable[],3)</f>
        <v>0</v>
      </c>
      <c r="AA49" s="104"/>
      <c r="AB49" s="278"/>
      <c r="AC49" s="1147" t="s">
        <v>236</v>
      </c>
      <c r="AD49" s="1179" t="str">
        <f>overall_locationBasedImportEmissions</f>
        <v>Error -  Review inputs</v>
      </c>
      <c r="AE49" s="1149">
        <f>AB52</f>
        <v>0</v>
      </c>
      <c r="AF49" s="1079"/>
      <c r="AG49" s="1080"/>
      <c r="AH49" s="1088"/>
      <c r="AI49" s="1079"/>
      <c r="AJ49" s="1079"/>
      <c r="AK49" s="1079"/>
      <c r="AL49" s="1079"/>
      <c r="AM49" s="1080"/>
    </row>
    <row r="50" spans="1:39" x14ac:dyDescent="0.25">
      <c r="B50" s="1095"/>
      <c r="C50" s="1180" t="s">
        <v>237</v>
      </c>
      <c r="D50" s="1096"/>
      <c r="E50" s="548"/>
      <c r="F50" s="907" t="s">
        <v>86</v>
      </c>
      <c r="G50" s="75" t="str">
        <f>IF('Electricity Usage'!$H$71&gt;1,'Hidden Lists and Summaries'!$D$160,"")</f>
        <v/>
      </c>
      <c r="H50" s="1098"/>
      <c r="I50" s="1098"/>
      <c r="J50" s="1096"/>
      <c r="K50" s="1096"/>
      <c r="L50" s="1096"/>
      <c r="M50" s="1096"/>
      <c r="N50" s="1182" t="s">
        <v>236</v>
      </c>
      <c r="O50" s="1183" t="str">
        <f>IFERROR(AD49*AE49,'Hidden Lists and Summaries'!$C$158)</f>
        <v>Error -  Review inputs</v>
      </c>
      <c r="P50" s="1184" t="s">
        <v>90</v>
      </c>
      <c r="Q50" s="1099"/>
      <c r="Y50" s="555" t="s">
        <v>238</v>
      </c>
      <c r="Z50" s="91">
        <f>E50*VLOOKUP(F50,EnergyConversionTable[],3)</f>
        <v>0</v>
      </c>
      <c r="AA50" s="91"/>
      <c r="AB50" s="218"/>
      <c r="AC50" s="1088" t="s">
        <v>239</v>
      </c>
      <c r="AD50" s="1186">
        <f>overall_ImportEmissions</f>
        <v>0</v>
      </c>
      <c r="AE50" s="1080">
        <f>AB52</f>
        <v>0</v>
      </c>
      <c r="AF50" s="1079"/>
      <c r="AG50" s="1080"/>
      <c r="AH50" s="1088"/>
      <c r="AI50" s="1102">
        <f>O51</f>
        <v>0</v>
      </c>
      <c r="AJ50" s="1102"/>
      <c r="AK50" s="1102" t="s">
        <v>240</v>
      </c>
      <c r="AL50" s="1079"/>
      <c r="AM50" s="1080"/>
    </row>
    <row r="51" spans="1:39" ht="15.65" customHeight="1" x14ac:dyDescent="0.25">
      <c r="B51" s="1095"/>
      <c r="C51" s="1180"/>
      <c r="D51" s="1187"/>
      <c r="E51" s="1173"/>
      <c r="F51" s="75"/>
      <c r="G51" s="75"/>
      <c r="H51" s="1098"/>
      <c r="I51" s="1098"/>
      <c r="J51" s="1098"/>
      <c r="K51" s="1098"/>
      <c r="L51" s="1096"/>
      <c r="M51" s="1096"/>
      <c r="N51" s="1130" t="s">
        <v>239</v>
      </c>
      <c r="O51" s="1131">
        <f>IFERROR(AD50*AE50,'Hidden Lists and Summaries'!$C$158)</f>
        <v>0</v>
      </c>
      <c r="P51" s="1132" t="s">
        <v>90</v>
      </c>
      <c r="Q51" s="1099"/>
      <c r="Y51" s="555" t="s">
        <v>241</v>
      </c>
      <c r="Z51" s="91">
        <f>E50*VLOOKUP(F50,EnergyConversionTable[],3)</f>
        <v>0</v>
      </c>
      <c r="AA51" s="91">
        <f>overall_onsiteElecGenRenewables+overall_verifiedRenewableElectricityImported</f>
        <v>0</v>
      </c>
      <c r="AB51" s="218">
        <f>IF(AA51=0,0,Z51/AA51)</f>
        <v>0</v>
      </c>
      <c r="AC51" s="1088" t="s">
        <v>242</v>
      </c>
      <c r="AD51" s="1186">
        <f>total_embodiedEmissionsCombustionBasedElectricity</f>
        <v>0</v>
      </c>
      <c r="AE51" s="1080">
        <f>AB53</f>
        <v>0</v>
      </c>
      <c r="AF51" s="1079"/>
      <c r="AG51" s="1080"/>
      <c r="AH51" s="1088"/>
      <c r="AI51" s="1102">
        <f>O52</f>
        <v>0</v>
      </c>
      <c r="AJ51" s="1102"/>
      <c r="AK51" s="1102" t="str">
        <f>'Hidden Lists and Summaries'!$B$5</f>
        <v>Embodied (Upstream)</v>
      </c>
      <c r="AL51" s="1079"/>
      <c r="AM51" s="1080" t="s">
        <v>243</v>
      </c>
    </row>
    <row r="52" spans="1:39" ht="15.65" customHeight="1" x14ac:dyDescent="0.25">
      <c r="B52" s="1095"/>
      <c r="C52" s="1176" t="s">
        <v>244</v>
      </c>
      <c r="D52" s="1188"/>
      <c r="E52" s="552"/>
      <c r="F52" s="906" t="s">
        <v>86</v>
      </c>
      <c r="G52" s="75" t="str">
        <f>IF('Electricity Usage'!$E$71&gt;1,'Hidden Lists and Summaries'!$D$157,"")</f>
        <v/>
      </c>
      <c r="H52" s="1098"/>
      <c r="I52" s="1098"/>
      <c r="J52" s="1096"/>
      <c r="K52" s="1096"/>
      <c r="L52" s="1096"/>
      <c r="M52" s="1096"/>
      <c r="N52" s="1130" t="s">
        <v>242</v>
      </c>
      <c r="O52" s="1131">
        <f>IFERROR(AD51*AE51,'Hidden Lists and Summaries'!$C$158)</f>
        <v>0</v>
      </c>
      <c r="P52" s="1132" t="s">
        <v>90</v>
      </c>
      <c r="Q52" s="1099"/>
      <c r="Y52" s="555" t="s">
        <v>246</v>
      </c>
      <c r="Z52" s="91">
        <f>E52*VLOOKUP(F52,EnergyConversionTable[],3)</f>
        <v>0</v>
      </c>
      <c r="AA52" s="91">
        <f>overall_totalImportedElectricity</f>
        <v>0</v>
      </c>
      <c r="AB52" s="218">
        <f>IF(AA52=0,0,Z52/AA52)</f>
        <v>0</v>
      </c>
      <c r="AC52" s="1197" t="s">
        <v>247</v>
      </c>
      <c r="AD52" s="1400">
        <f>total_emissionsCombustionBasedElectricity</f>
        <v>0</v>
      </c>
      <c r="AE52" s="1143">
        <f>AB53</f>
        <v>0</v>
      </c>
      <c r="AF52" s="1079"/>
      <c r="AG52" s="1080"/>
      <c r="AH52" s="1088"/>
      <c r="AI52" s="1102">
        <f>O53</f>
        <v>0</v>
      </c>
      <c r="AJ52" s="1102"/>
      <c r="AK52" s="1102" t="s">
        <v>248</v>
      </c>
      <c r="AL52" s="1079"/>
      <c r="AM52" s="1080"/>
    </row>
    <row r="53" spans="1:39" x14ac:dyDescent="0.25">
      <c r="B53" s="1095"/>
      <c r="C53" s="1176" t="s">
        <v>249</v>
      </c>
      <c r="D53" s="1096"/>
      <c r="E53" s="548"/>
      <c r="F53" s="907" t="s">
        <v>86</v>
      </c>
      <c r="G53" s="75" t="str">
        <f>IF('Electricity Usage'!$F$71&gt;1,'Hidden Lists and Summaries'!$D$158,"")</f>
        <v/>
      </c>
      <c r="H53" s="1098"/>
      <c r="I53" s="1098"/>
      <c r="J53" s="1096"/>
      <c r="K53" s="1096"/>
      <c r="L53" s="1096"/>
      <c r="M53" s="1096"/>
      <c r="N53" s="1130" t="s">
        <v>247</v>
      </c>
      <c r="O53" s="1131">
        <f>IFERROR(AD52*AE52,'Hidden Lists and Summaries'!$C$158)</f>
        <v>0</v>
      </c>
      <c r="P53" s="1132" t="s">
        <v>90</v>
      </c>
      <c r="Q53" s="1099"/>
      <c r="Y53" s="556" t="s">
        <v>251</v>
      </c>
      <c r="Z53" s="185">
        <f>E53*VLOOKUP(F53,EnergyConversionTable[],3)</f>
        <v>0</v>
      </c>
      <c r="AA53" s="185">
        <f>overall_totalOnsiteCombustionElecGen</f>
        <v>0</v>
      </c>
      <c r="AB53" s="225">
        <f>IF(AA53=0,0,Z53/AA53)</f>
        <v>0</v>
      </c>
      <c r="AC53" s="1079"/>
      <c r="AD53" s="1079"/>
      <c r="AE53" s="1186"/>
      <c r="AF53" s="1079"/>
      <c r="AG53" s="1080"/>
      <c r="AH53" s="1088"/>
      <c r="AI53" s="1102"/>
      <c r="AJ53" s="1102"/>
      <c r="AK53" s="1102"/>
      <c r="AL53" s="1079"/>
      <c r="AM53" s="1080"/>
    </row>
    <row r="54" spans="1:39" ht="15.65" customHeight="1" x14ac:dyDescent="0.25">
      <c r="B54" s="1105"/>
      <c r="C54" s="1106"/>
      <c r="D54" s="1106"/>
      <c r="E54" s="1106"/>
      <c r="F54" s="1106"/>
      <c r="G54" s="1106"/>
      <c r="H54" s="1115"/>
      <c r="I54" s="1115"/>
      <c r="J54" s="1106"/>
      <c r="K54" s="1106"/>
      <c r="L54" s="1106"/>
      <c r="M54" s="1106"/>
      <c r="N54" s="1144" t="s">
        <v>120</v>
      </c>
      <c r="O54" s="1145">
        <f>SUM(O50:O53)</f>
        <v>0</v>
      </c>
      <c r="P54" s="1146" t="s">
        <v>90</v>
      </c>
      <c r="Q54" s="1107"/>
      <c r="Y54" s="1088"/>
      <c r="Z54" s="1079"/>
      <c r="AA54" s="1079"/>
      <c r="AB54" s="1079"/>
      <c r="AC54" s="1079"/>
      <c r="AD54" s="1079"/>
      <c r="AE54" s="1079"/>
      <c r="AF54" s="1079"/>
      <c r="AG54" s="1080"/>
      <c r="AH54" s="1088"/>
      <c r="AI54" s="1079"/>
      <c r="AJ54" s="1079"/>
      <c r="AK54" s="1079"/>
      <c r="AL54" s="1079"/>
      <c r="AM54" s="1080"/>
    </row>
    <row r="55" spans="1:39" ht="15.65" customHeight="1" x14ac:dyDescent="0.25">
      <c r="A55" s="1164"/>
      <c r="B55" s="1108"/>
      <c r="C55" s="1108"/>
      <c r="D55" s="1108"/>
      <c r="E55" s="1108"/>
      <c r="F55" s="1108"/>
      <c r="G55" s="1108"/>
      <c r="H55" s="1102"/>
      <c r="I55" s="1102"/>
      <c r="J55" s="1108"/>
      <c r="K55" s="1108"/>
      <c r="L55" s="1108"/>
      <c r="M55" s="1108"/>
      <c r="N55" s="1164"/>
      <c r="O55" s="1164"/>
      <c r="P55" s="1102"/>
      <c r="Q55" s="1108"/>
      <c r="Y55" s="1088"/>
      <c r="Z55" s="1079"/>
      <c r="AA55" s="1079"/>
      <c r="AB55" s="1079"/>
      <c r="AC55" s="1079"/>
      <c r="AD55" s="1079"/>
      <c r="AE55" s="1079"/>
      <c r="AF55" s="1079"/>
      <c r="AG55" s="1080"/>
      <c r="AH55" s="1088"/>
      <c r="AI55" s="1079"/>
      <c r="AJ55" s="1079"/>
      <c r="AK55" s="1079"/>
      <c r="AL55" s="1079"/>
      <c r="AM55" s="1080"/>
    </row>
    <row r="56" spans="1:39" ht="15.65" customHeight="1" x14ac:dyDescent="0.25">
      <c r="A56" s="1164"/>
      <c r="B56" s="1081"/>
      <c r="C56" s="1082"/>
      <c r="D56" s="1082"/>
      <c r="E56" s="1082"/>
      <c r="F56" s="1082"/>
      <c r="G56" s="1082"/>
      <c r="H56" s="1082"/>
      <c r="I56" s="1082"/>
      <c r="J56" s="1082"/>
      <c r="K56" s="1082"/>
      <c r="L56" s="1082"/>
      <c r="M56" s="1082"/>
      <c r="N56" s="1082"/>
      <c r="O56" s="1082"/>
      <c r="P56" s="1082"/>
      <c r="Q56" s="1083"/>
      <c r="Y56" s="1088"/>
      <c r="Z56" s="1079"/>
      <c r="AA56" s="1079"/>
      <c r="AB56" s="1079"/>
      <c r="AC56" s="1079"/>
      <c r="AD56" s="1079"/>
      <c r="AE56" s="1079"/>
      <c r="AF56" s="1079"/>
      <c r="AG56" s="1080"/>
      <c r="AH56" s="1088"/>
      <c r="AI56" s="1079"/>
      <c r="AJ56" s="1079"/>
      <c r="AK56" s="1079"/>
      <c r="AL56" s="1079"/>
      <c r="AM56" s="1080"/>
    </row>
    <row r="57" spans="1:39" ht="15.65" customHeight="1" x14ac:dyDescent="0.25">
      <c r="A57" s="1164"/>
      <c r="B57" s="1084"/>
      <c r="C57" s="1109" t="s">
        <v>252</v>
      </c>
      <c r="D57" s="1086"/>
      <c r="E57" s="1086"/>
      <c r="F57" s="1086"/>
      <c r="G57" s="1086"/>
      <c r="H57" s="1086"/>
      <c r="I57" s="1086"/>
      <c r="J57" s="1086"/>
      <c r="K57" s="1086"/>
      <c r="L57" s="1086"/>
      <c r="M57" s="1086"/>
      <c r="N57" s="1086"/>
      <c r="O57" s="1086"/>
      <c r="P57" s="1086"/>
      <c r="Q57" s="1087"/>
      <c r="Y57" s="1191"/>
      <c r="Z57" s="1079"/>
      <c r="AA57" s="1079"/>
      <c r="AB57" s="1079"/>
      <c r="AC57" s="1079"/>
      <c r="AD57" s="1079"/>
      <c r="AE57" s="1079"/>
      <c r="AF57" s="1079"/>
      <c r="AG57" s="1080"/>
      <c r="AH57" s="1088"/>
      <c r="AI57" s="1079"/>
      <c r="AJ57" s="1079"/>
      <c r="AK57" s="1079"/>
      <c r="AL57" s="1079"/>
      <c r="AM57" s="1080"/>
    </row>
    <row r="58" spans="1:39" ht="15.65" customHeight="1" x14ac:dyDescent="0.25">
      <c r="A58" s="1164"/>
      <c r="B58" s="1089"/>
      <c r="C58" s="1090"/>
      <c r="D58" s="1090"/>
      <c r="E58" s="1091" t="s">
        <v>253</v>
      </c>
      <c r="F58" s="1091" t="s">
        <v>81</v>
      </c>
      <c r="G58" s="1092"/>
      <c r="H58" s="1092"/>
      <c r="I58" s="1092"/>
      <c r="J58" s="1093"/>
      <c r="K58" s="1090"/>
      <c r="L58" s="1090"/>
      <c r="M58" s="1090"/>
      <c r="N58" s="1090"/>
      <c r="O58" s="1091" t="s">
        <v>82</v>
      </c>
      <c r="P58" s="1090"/>
      <c r="Q58" s="1094"/>
      <c r="Y58" s="1153" t="s">
        <v>254</v>
      </c>
      <c r="Z58" s="1153" t="s">
        <v>503</v>
      </c>
      <c r="AA58" s="1122" t="s">
        <v>256</v>
      </c>
      <c r="AB58" s="1079"/>
      <c r="AC58" s="1079"/>
      <c r="AD58" s="1079"/>
      <c r="AE58" s="1079"/>
      <c r="AF58" s="1079"/>
      <c r="AG58" s="1080"/>
      <c r="AH58" s="1088"/>
      <c r="AI58" s="1079"/>
      <c r="AJ58" s="1079"/>
      <c r="AK58" s="1079"/>
      <c r="AL58" s="1079"/>
      <c r="AM58" s="1080"/>
    </row>
    <row r="59" spans="1:39" ht="15.65" customHeight="1" x14ac:dyDescent="0.25">
      <c r="B59" s="1192"/>
      <c r="C59" s="1193"/>
      <c r="D59" s="1193"/>
      <c r="E59" s="1193"/>
      <c r="F59" s="1193"/>
      <c r="G59" s="1193"/>
      <c r="H59" s="1124"/>
      <c r="I59" s="1124"/>
      <c r="J59" s="1193"/>
      <c r="K59" s="1193"/>
      <c r="L59" s="1193"/>
      <c r="M59" s="1193"/>
      <c r="N59" s="1194"/>
      <c r="O59" s="1194"/>
      <c r="P59" s="1194"/>
      <c r="Q59" s="1195"/>
      <c r="Y59" s="1156" t="s">
        <v>128</v>
      </c>
      <c r="Z59" s="1156"/>
      <c r="AA59" s="1122" t="s">
        <v>116</v>
      </c>
      <c r="AB59" s="1079"/>
      <c r="AC59" s="1079"/>
      <c r="AD59" s="1079"/>
      <c r="AE59" s="1079"/>
      <c r="AF59" s="1079"/>
      <c r="AG59" s="1080"/>
      <c r="AH59" s="1088"/>
      <c r="AI59" s="1079"/>
      <c r="AJ59" s="1079"/>
      <c r="AK59" s="1079"/>
      <c r="AL59" s="1079"/>
      <c r="AM59" s="1080"/>
    </row>
    <row r="60" spans="1:39" ht="15.65" customHeight="1" x14ac:dyDescent="0.25">
      <c r="B60" s="1095"/>
      <c r="C60" s="1187" t="s">
        <v>579</v>
      </c>
      <c r="D60" s="1187"/>
      <c r="E60" s="549"/>
      <c r="F60" s="1067" t="s">
        <v>90</v>
      </c>
      <c r="G60" s="1532" t="str">
        <f>IF(IFERROR(OR('Electricity Usage'!$G$71&gt;1,E60*VLOOKUP(F60,massConv[],3,FALSE)&gt;overall_CHPSteamGenerated),FALSE),'Hidden Lists and Summaries'!$D$159,"")</f>
        <v/>
      </c>
      <c r="H60" s="1129"/>
      <c r="I60" s="1129"/>
      <c r="J60" s="1101"/>
      <c r="K60" s="1101"/>
      <c r="L60" s="1101"/>
      <c r="M60" s="1101"/>
      <c r="N60" s="1182" t="s">
        <v>257</v>
      </c>
      <c r="O60" s="1183" t="str">
        <f>IFERROR($Z$60*AA60,'Hidden Lists and Summaries'!$C$158)</f>
        <v>Error -  Review inputs</v>
      </c>
      <c r="P60" s="1184" t="s">
        <v>90</v>
      </c>
      <c r="Q60" s="1099"/>
      <c r="Y60" s="1147">
        <f>IFERROR(E60*VLOOKUP(F60,massConv[],3,FALSE),0)</f>
        <v>0</v>
      </c>
      <c r="Z60" s="1148" t="e">
        <f>IF(overall_CHPSteamGenerated=0,0,Y60/overall_CHPSteamGenerated)</f>
        <v>#N/A</v>
      </c>
      <c r="AA60" s="1149">
        <f>overall_embodiedCHPSteam</f>
        <v>0</v>
      </c>
      <c r="AB60" s="1196" t="s">
        <v>257</v>
      </c>
      <c r="AC60" s="1079"/>
      <c r="AD60"/>
      <c r="AE60" s="1079"/>
      <c r="AF60" s="1079"/>
      <c r="AG60" s="1080"/>
      <c r="AH60" s="1088"/>
      <c r="AI60" s="1079" t="str">
        <f>O60</f>
        <v>Error -  Review inputs</v>
      </c>
      <c r="AJ60" s="1079"/>
      <c r="AK60" s="1102" t="str">
        <f>'Hidden Lists and Summaries'!$B$5</f>
        <v>Embodied (Upstream)</v>
      </c>
      <c r="AL60" s="1079"/>
      <c r="AM60" s="1080" t="s">
        <v>243</v>
      </c>
    </row>
    <row r="61" spans="1:39" ht="15.65" customHeight="1" x14ac:dyDescent="0.25">
      <c r="B61" s="1095"/>
      <c r="C61" s="1101"/>
      <c r="D61" s="1101"/>
      <c r="E61" s="1101"/>
      <c r="F61" s="1101"/>
      <c r="G61" s="1101"/>
      <c r="H61" s="1129"/>
      <c r="I61" s="1129"/>
      <c r="J61" s="1101"/>
      <c r="K61" s="1101"/>
      <c r="L61" s="1101"/>
      <c r="M61" s="1101"/>
      <c r="N61" s="1130" t="s">
        <v>259</v>
      </c>
      <c r="O61" s="1131" t="str">
        <f>IFERROR($Z$60*AA61,'Hidden Lists and Summaries'!$C$158)</f>
        <v>Error -  Review inputs</v>
      </c>
      <c r="P61" s="1132" t="s">
        <v>90</v>
      </c>
      <c r="Q61" s="1099"/>
      <c r="Y61" s="1197"/>
      <c r="Z61" s="1142"/>
      <c r="AA61" s="1143">
        <f>overall_CHP_EmissionsSteam</f>
        <v>0</v>
      </c>
      <c r="AB61" s="1196" t="s">
        <v>259</v>
      </c>
      <c r="AC61" s="1079"/>
      <c r="AD61"/>
      <c r="AE61" s="1079"/>
      <c r="AF61" s="1079"/>
      <c r="AG61" s="1080"/>
      <c r="AH61" s="1088"/>
      <c r="AI61" s="1079" t="str">
        <f>O61</f>
        <v>Error -  Review inputs</v>
      </c>
      <c r="AJ61" s="1079"/>
      <c r="AK61" s="1102" t="s">
        <v>248</v>
      </c>
      <c r="AL61" s="1079"/>
      <c r="AM61" s="1080"/>
    </row>
    <row r="62" spans="1:39" ht="15.65" customHeight="1" x14ac:dyDescent="0.25">
      <c r="B62" s="1105"/>
      <c r="C62" s="1106"/>
      <c r="D62" s="1106"/>
      <c r="E62" s="1106"/>
      <c r="F62" s="1106"/>
      <c r="G62" s="1106"/>
      <c r="H62" s="1115"/>
      <c r="I62" s="1115"/>
      <c r="J62" s="1106"/>
      <c r="K62" s="1106"/>
      <c r="L62" s="1106"/>
      <c r="M62" s="1106"/>
      <c r="N62" s="1144" t="s">
        <v>120</v>
      </c>
      <c r="O62" s="1145">
        <f>SUM(O60:O61)</f>
        <v>0</v>
      </c>
      <c r="P62" s="1146" t="s">
        <v>90</v>
      </c>
      <c r="Q62" s="1107"/>
      <c r="Y62" s="1088"/>
      <c r="Z62" s="1079"/>
      <c r="AA62" s="1079"/>
      <c r="AB62" s="1079"/>
      <c r="AC62" s="1079"/>
      <c r="AD62" s="1079"/>
      <c r="AE62" s="1079"/>
      <c r="AF62" s="1079"/>
      <c r="AG62" s="1080"/>
      <c r="AH62" s="1088"/>
      <c r="AI62" s="1079"/>
      <c r="AJ62" s="1079"/>
      <c r="AK62" s="1079"/>
      <c r="AL62" s="1079"/>
      <c r="AM62" s="1080"/>
    </row>
    <row r="63" spans="1:39" ht="15.65" customHeight="1" x14ac:dyDescent="0.25">
      <c r="B63" s="1118"/>
      <c r="C63" s="1118"/>
      <c r="D63" s="1118"/>
      <c r="E63" s="1118"/>
      <c r="F63" s="1118"/>
      <c r="G63" s="1118"/>
      <c r="H63" s="1118"/>
      <c r="I63" s="1118"/>
      <c r="J63" s="1118"/>
      <c r="K63" s="1118"/>
      <c r="L63" s="1118"/>
      <c r="M63" s="1118"/>
      <c r="N63" s="1465"/>
      <c r="O63" s="1465"/>
      <c r="P63" s="1118"/>
      <c r="Q63" s="1118"/>
      <c r="Y63" s="1088"/>
      <c r="Z63"/>
      <c r="AA63"/>
      <c r="AB63"/>
      <c r="AC63" s="1079"/>
      <c r="AD63" s="1079"/>
      <c r="AE63" s="1079"/>
      <c r="AF63" s="1079"/>
      <c r="AG63" s="1080"/>
      <c r="AH63" s="1088"/>
      <c r="AI63" s="1079"/>
      <c r="AJ63" s="1079"/>
      <c r="AK63" s="1079"/>
      <c r="AL63" s="1079"/>
      <c r="AM63" s="1080"/>
    </row>
    <row r="64" spans="1:39" ht="15.65" customHeight="1" x14ac:dyDescent="0.25">
      <c r="B64" s="1081"/>
      <c r="C64" s="1082"/>
      <c r="D64" s="1082"/>
      <c r="E64" s="1082"/>
      <c r="F64" s="1082"/>
      <c r="G64" s="1150" t="s">
        <v>504</v>
      </c>
      <c r="H64" s="1082"/>
      <c r="I64" s="1082"/>
      <c r="J64" s="1082"/>
      <c r="K64" s="1082"/>
      <c r="L64" s="1082"/>
      <c r="M64" s="1082"/>
      <c r="N64" s="1082"/>
      <c r="O64" s="1082"/>
      <c r="P64" s="1082"/>
      <c r="Q64" s="1083"/>
      <c r="Y64" s="1088"/>
      <c r="Z64" s="1079"/>
      <c r="AA64" s="1079"/>
      <c r="AB64" s="1079"/>
      <c r="AC64" s="1079"/>
      <c r="AD64" s="1079"/>
      <c r="AE64" s="1079"/>
      <c r="AF64" s="1079"/>
      <c r="AG64" s="1080"/>
      <c r="AH64" s="1088"/>
      <c r="AI64" s="1079"/>
      <c r="AJ64" s="1079"/>
      <c r="AK64" s="1079"/>
      <c r="AL64" s="1079"/>
      <c r="AM64" s="1080"/>
    </row>
    <row r="65" spans="2:39" ht="15.65" customHeight="1" x14ac:dyDescent="0.25">
      <c r="B65" s="1084"/>
      <c r="C65" s="1198" t="s">
        <v>261</v>
      </c>
      <c r="D65" s="1151"/>
      <c r="E65" s="1152"/>
      <c r="F65" s="1151"/>
      <c r="G65" s="1151"/>
      <c r="H65" s="1902" t="s">
        <v>795</v>
      </c>
      <c r="I65" s="1151"/>
      <c r="J65" s="1151"/>
      <c r="K65" s="1151"/>
      <c r="L65" s="1151"/>
      <c r="M65" s="1151"/>
      <c r="N65" s="1151"/>
      <c r="O65" s="1151"/>
      <c r="P65" s="1151"/>
      <c r="Q65" s="1087"/>
      <c r="Y65" s="1088"/>
      <c r="Z65" s="1079"/>
      <c r="AA65" s="1079"/>
      <c r="AB65" s="1079"/>
      <c r="AC65" s="1079"/>
      <c r="AD65" s="1079"/>
      <c r="AE65" s="1079"/>
      <c r="AF65" s="1079"/>
      <c r="AG65" s="1080"/>
      <c r="AH65" s="1088"/>
      <c r="AI65" s="1079"/>
      <c r="AJ65" s="1079"/>
      <c r="AK65" s="1079"/>
      <c r="AL65" s="1079"/>
      <c r="AM65" s="1080"/>
    </row>
    <row r="66" spans="2:39" ht="15.65" customHeight="1" x14ac:dyDescent="0.25">
      <c r="B66" s="1089"/>
      <c r="C66" s="1090"/>
      <c r="D66" s="1090"/>
      <c r="E66" s="1200" t="s">
        <v>198</v>
      </c>
      <c r="F66" s="1091" t="s">
        <v>253</v>
      </c>
      <c r="G66" s="1091" t="s">
        <v>184</v>
      </c>
      <c r="H66" s="1896"/>
      <c r="I66" s="1111" t="s">
        <v>262</v>
      </c>
      <c r="J66" s="1111" t="s">
        <v>263</v>
      </c>
      <c r="K66" s="1090"/>
      <c r="L66" s="1090"/>
      <c r="M66" s="1090"/>
      <c r="N66" s="1090"/>
      <c r="O66" s="1091" t="s">
        <v>82</v>
      </c>
      <c r="P66" s="1090"/>
      <c r="Q66" s="1094"/>
      <c r="Y66" s="1122" t="s">
        <v>122</v>
      </c>
      <c r="Z66" s="1122" t="s">
        <v>264</v>
      </c>
      <c r="AA66" s="1122" t="s">
        <v>265</v>
      </c>
      <c r="AB66" s="1121" t="s">
        <v>266</v>
      </c>
      <c r="AC66" s="1122" t="s">
        <v>123</v>
      </c>
      <c r="AD66" s="1121" t="s">
        <v>77</v>
      </c>
      <c r="AE66" s="1122" t="s">
        <v>267</v>
      </c>
      <c r="AF66" s="1123" t="s">
        <v>268</v>
      </c>
      <c r="AH66" s="1088"/>
      <c r="AI66" s="1079"/>
      <c r="AJ66" s="1079"/>
      <c r="AK66" s="1079"/>
      <c r="AL66" s="1079"/>
      <c r="AM66" s="1080"/>
    </row>
    <row r="67" spans="2:39" ht="15.65" customHeight="1" x14ac:dyDescent="0.25">
      <c r="B67" s="1095"/>
      <c r="C67" s="1096"/>
      <c r="D67" s="1096"/>
      <c r="E67" s="1173"/>
      <c r="F67" s="1096"/>
      <c r="G67" s="1096"/>
      <c r="H67" s="1096"/>
      <c r="I67" s="1098"/>
      <c r="J67" s="1098"/>
      <c r="K67" s="1096"/>
      <c r="L67" s="1096"/>
      <c r="M67" s="1096"/>
      <c r="N67" s="1125"/>
      <c r="O67" s="1126" t="s">
        <v>505</v>
      </c>
      <c r="P67" s="1155"/>
      <c r="Q67" s="1099"/>
      <c r="Y67" s="1122" t="s">
        <v>128</v>
      </c>
      <c r="Z67" s="1122" t="s">
        <v>270</v>
      </c>
      <c r="AA67" s="1122" t="s">
        <v>270</v>
      </c>
      <c r="AB67" s="1121" t="s">
        <v>271</v>
      </c>
      <c r="AC67" s="1121" t="s">
        <v>272</v>
      </c>
      <c r="AD67" s="1121" t="s">
        <v>273</v>
      </c>
      <c r="AE67" s="1122" t="s">
        <v>270</v>
      </c>
      <c r="AF67" s="1123" t="s">
        <v>270</v>
      </c>
      <c r="AH67" s="1088"/>
      <c r="AI67" s="1079"/>
      <c r="AJ67" s="1079"/>
      <c r="AK67" s="1079"/>
      <c r="AL67" s="1079"/>
      <c r="AM67" s="1080"/>
    </row>
    <row r="68" spans="2:39" ht="15.65" customHeight="1" x14ac:dyDescent="0.25">
      <c r="B68" s="1095"/>
      <c r="C68" s="1113" t="s">
        <v>274</v>
      </c>
      <c r="D68" s="1202"/>
      <c r="E68" s="751"/>
      <c r="F68" s="800"/>
      <c r="G68" s="800"/>
      <c r="H68" s="954"/>
      <c r="I68" s="955"/>
      <c r="J68" s="956"/>
      <c r="K68" s="1096"/>
      <c r="L68" s="1096"/>
      <c r="M68" s="1096"/>
      <c r="N68" s="1130"/>
      <c r="O68" s="1131">
        <f>IF(AND(F68="",G68="",H68="",I68="",J68=""),0,IFERROR(AD68*Y68,'Hidden Lists and Summaries'!$C$158))</f>
        <v>0</v>
      </c>
      <c r="P68" s="1132" t="s">
        <v>90</v>
      </c>
      <c r="Q68" s="1099"/>
      <c r="Y68" s="1147" t="e">
        <f>F68*VLOOKUP(G68,massConv[#All],3,FALSE)</f>
        <v>#N/A</v>
      </c>
      <c r="Z68" s="1148" t="e">
        <f>VLOOKUP(I68,BoilerFuelReferenceTable[#All],2,FALSE)</f>
        <v>#N/A</v>
      </c>
      <c r="AA68" s="1148" t="e">
        <f>IF(I68='Key Values'!$B$209,AE68,AF68)</f>
        <v>#N/A</v>
      </c>
      <c r="AB68" s="1069" t="e">
        <f>Z68+AA68</f>
        <v>#N/A</v>
      </c>
      <c r="AC68" s="1148" t="e">
        <f>VLOOKUP(J68,SteamProperties[#All],6,FALSE)</f>
        <v>#N/A</v>
      </c>
      <c r="AD68" s="1203" t="e">
        <f>IF(H68="",AB68*AC68,H68)</f>
        <v>#N/A</v>
      </c>
      <c r="AE68" s="1148">
        <f>IFERROR(VLOOKUP(iq_location,GaseousFuelEmbodiedEmissions[#All],IF(iq_metro,2,3),FALSE),0)</f>
        <v>0</v>
      </c>
      <c r="AF68" s="1149" t="e">
        <f>VLOOKUP(I68,BoilerFuelReferenceTable[#All],3,FALSE)</f>
        <v>#N/A</v>
      </c>
      <c r="AH68" s="1088"/>
      <c r="AI68" s="1079"/>
      <c r="AJ68" s="1079"/>
      <c r="AK68" s="1079"/>
      <c r="AL68" s="1079"/>
      <c r="AM68" s="1080"/>
    </row>
    <row r="69" spans="2:39" ht="15.65" customHeight="1" x14ac:dyDescent="0.25">
      <c r="B69" s="1095"/>
      <c r="C69" s="1113" t="s">
        <v>275</v>
      </c>
      <c r="D69" s="1202"/>
      <c r="E69" s="752"/>
      <c r="F69" s="801"/>
      <c r="G69" s="802"/>
      <c r="H69" s="957"/>
      <c r="I69" s="958"/>
      <c r="J69" s="959"/>
      <c r="K69" s="1096"/>
      <c r="L69" s="1096"/>
      <c r="M69" s="1096"/>
      <c r="N69" s="1130"/>
      <c r="O69" s="1131">
        <f>IF(AND(F69="",G69="",H69="",I69="",J69=""),0,IFERROR(AD69*Y69,'Hidden Lists and Summaries'!$C$158))</f>
        <v>0</v>
      </c>
      <c r="P69" s="1132" t="s">
        <v>90</v>
      </c>
      <c r="Q69" s="1099"/>
      <c r="Y69" s="1088" t="e">
        <f>F69*VLOOKUP(G69,massConv[#All],3,FALSE)</f>
        <v>#N/A</v>
      </c>
      <c r="Z69" s="1079" t="e">
        <f>VLOOKUP(I69,BoilerFuelReferenceTable[#All],2,FALSE)</f>
        <v>#N/A</v>
      </c>
      <c r="AA69" s="1079" t="e">
        <f>IF(I69='Key Values'!$B$209,AE69,AF69)</f>
        <v>#N/A</v>
      </c>
      <c r="AB69" s="1069" t="e">
        <f>Z69+AA69</f>
        <v>#N/A</v>
      </c>
      <c r="AC69" s="1079" t="e">
        <f>VLOOKUP(J69,SteamProperties[#All],6,FALSE)</f>
        <v>#N/A</v>
      </c>
      <c r="AD69" s="1204" t="e">
        <f t="shared" ref="AD69:AD70" si="0">IF(H69="",AB69*AC69,H69)</f>
        <v>#N/A</v>
      </c>
      <c r="AE69" s="1079">
        <f>IFERROR(VLOOKUP(iq_location,GaseousFuelEmbodiedEmissions[#All],IF(iq_metro,2,3),FALSE),0)</f>
        <v>0</v>
      </c>
      <c r="AF69" s="1080" t="e">
        <f>VLOOKUP(I69,BoilerFuelReferenceTable[#All],3,FALSE)</f>
        <v>#N/A</v>
      </c>
      <c r="AH69" s="1088"/>
      <c r="AI69" s="1079"/>
      <c r="AJ69" s="1079"/>
      <c r="AK69" s="1079"/>
      <c r="AL69" s="1079"/>
      <c r="AM69" s="1080"/>
    </row>
    <row r="70" spans="2:39" ht="15.65" customHeight="1" x14ac:dyDescent="0.25">
      <c r="B70" s="1095"/>
      <c r="C70" s="1113" t="s">
        <v>276</v>
      </c>
      <c r="D70" s="1202"/>
      <c r="E70" s="780"/>
      <c r="F70" s="803"/>
      <c r="G70" s="804"/>
      <c r="H70" s="960"/>
      <c r="I70" s="961"/>
      <c r="J70" s="962"/>
      <c r="K70" s="1096"/>
      <c r="L70" s="1096"/>
      <c r="M70" s="1096"/>
      <c r="N70" s="1130"/>
      <c r="O70" s="1131">
        <f>IF(AND(F70="",G70="",H70="",I70="",J70=""),0,IFERROR(AD70*Y70,'Hidden Lists and Summaries'!$C$158))</f>
        <v>0</v>
      </c>
      <c r="P70" s="1132" t="s">
        <v>90</v>
      </c>
      <c r="Q70" s="1099"/>
      <c r="Y70" s="1197" t="e">
        <f>F70*VLOOKUP(G70,massConv[#All],3,FALSE)</f>
        <v>#N/A</v>
      </c>
      <c r="Z70" s="1142" t="e">
        <f>VLOOKUP(I70,BoilerFuelReferenceTable[#All],2,FALSE)</f>
        <v>#N/A</v>
      </c>
      <c r="AA70" s="1142" t="e">
        <f>IF(I70='Key Values'!$B$209,AE70,AF70)</f>
        <v>#N/A</v>
      </c>
      <c r="AB70" s="1142" t="e">
        <f>Z70+AA70</f>
        <v>#N/A</v>
      </c>
      <c r="AC70" s="1142" t="e">
        <f>VLOOKUP(J70,SteamProperties[#All],6,FALSE)</f>
        <v>#N/A</v>
      </c>
      <c r="AD70" s="1205" t="e">
        <f t="shared" si="0"/>
        <v>#N/A</v>
      </c>
      <c r="AE70" s="1142">
        <f>IFERROR(VLOOKUP(iq_location,GaseousFuelEmbodiedEmissions[#All],IF(iq_metro,2,3),FALSE),0)</f>
        <v>0</v>
      </c>
      <c r="AF70" s="1143" t="e">
        <f>VLOOKUP(I70,BoilerFuelReferenceTable[#All],3,FALSE)</f>
        <v>#N/A</v>
      </c>
      <c r="AH70" s="1088"/>
      <c r="AI70" s="1079"/>
      <c r="AJ70" s="1079"/>
      <c r="AK70" s="1079"/>
      <c r="AL70" s="1079"/>
      <c r="AM70" s="1080"/>
    </row>
    <row r="71" spans="2:39" ht="15.65" customHeight="1" x14ac:dyDescent="0.25">
      <c r="B71" s="1105"/>
      <c r="C71" s="1106"/>
      <c r="D71" s="1106"/>
      <c r="E71" s="1206"/>
      <c r="F71" s="1106"/>
      <c r="G71" s="1106"/>
      <c r="H71" s="1115"/>
      <c r="I71" s="1115"/>
      <c r="J71" s="1106"/>
      <c r="K71" s="1106"/>
      <c r="L71" s="1106"/>
      <c r="M71" s="1106"/>
      <c r="N71" s="1144" t="s">
        <v>120</v>
      </c>
      <c r="O71" s="1145">
        <f>SUM(O68:O70)</f>
        <v>0</v>
      </c>
      <c r="P71" s="1146" t="s">
        <v>90</v>
      </c>
      <c r="Q71" s="1107"/>
      <c r="Y71" s="1088"/>
      <c r="Z71" s="1079"/>
      <c r="AA71" s="1079"/>
      <c r="AB71" s="1079"/>
      <c r="AC71" s="1079"/>
      <c r="AD71" s="1079"/>
      <c r="AE71" s="1148"/>
      <c r="AF71" s="1148"/>
      <c r="AH71" s="1088"/>
      <c r="AI71" s="1079">
        <f>O71</f>
        <v>0</v>
      </c>
      <c r="AJ71" s="1079"/>
      <c r="AK71" s="1079" t="str">
        <f>'Hidden Lists and Summaries'!$B$6</f>
        <v>Steam Supply</v>
      </c>
      <c r="AL71" s="1079"/>
      <c r="AM71" s="1080"/>
    </row>
    <row r="72" spans="2:39" ht="15.65" customHeight="1" x14ac:dyDescent="0.25">
      <c r="B72" s="1118"/>
      <c r="C72" s="1118"/>
      <c r="D72" s="1118"/>
      <c r="E72" s="1118"/>
      <c r="F72" s="1118"/>
      <c r="G72" s="1118"/>
      <c r="H72" s="1118"/>
      <c r="I72" s="1118"/>
      <c r="J72" s="1118"/>
      <c r="K72" s="1118"/>
      <c r="L72" s="1118"/>
      <c r="M72" s="1118"/>
      <c r="N72" s="1118"/>
      <c r="O72" s="1118"/>
      <c r="P72" s="1118"/>
      <c r="Q72" s="1118"/>
      <c r="S72" s="101"/>
      <c r="Y72" s="1088"/>
      <c r="Z72" s="1079"/>
      <c r="AA72" s="1079"/>
      <c r="AB72" s="1079"/>
      <c r="AC72" s="1079"/>
      <c r="AD72" s="1079"/>
      <c r="AE72" s="1079"/>
      <c r="AF72" s="1079"/>
      <c r="AG72" s="1080"/>
      <c r="AH72" s="1088"/>
      <c r="AI72" s="1079"/>
      <c r="AJ72" s="1079"/>
      <c r="AK72" s="1079"/>
      <c r="AL72" s="1079"/>
      <c r="AM72" s="1080"/>
    </row>
    <row r="73" spans="2:39" ht="15.65" customHeight="1" x14ac:dyDescent="0.25">
      <c r="B73" s="1207"/>
      <c r="C73" s="1208"/>
      <c r="D73" s="1208"/>
      <c r="E73" s="1208"/>
      <c r="F73" s="1208"/>
      <c r="G73" s="1208"/>
      <c r="H73" s="1208"/>
      <c r="I73" s="1208"/>
      <c r="J73" s="1208"/>
      <c r="K73" s="1208"/>
      <c r="L73" s="1208"/>
      <c r="M73" s="1208"/>
      <c r="N73" s="1208"/>
      <c r="O73" s="1208"/>
      <c r="P73" s="1208"/>
      <c r="Q73" s="1209"/>
      <c r="S73" s="101"/>
      <c r="Y73" s="1088"/>
      <c r="Z73" s="1079"/>
      <c r="AA73" s="1079"/>
      <c r="AB73" s="1079"/>
      <c r="AC73" s="1079"/>
      <c r="AD73" s="1079"/>
      <c r="AE73" s="1079"/>
      <c r="AF73" s="1079"/>
      <c r="AG73" s="1080"/>
      <c r="AH73" s="1088"/>
      <c r="AI73" s="1079"/>
      <c r="AJ73" s="1079"/>
      <c r="AK73" s="1079"/>
      <c r="AL73" s="1079"/>
      <c r="AM73" s="1080"/>
    </row>
    <row r="74" spans="2:39" ht="15.65" customHeight="1" x14ac:dyDescent="0.25">
      <c r="B74" s="1210"/>
      <c r="C74" s="1211" t="s">
        <v>277</v>
      </c>
      <c r="D74" s="1212"/>
      <c r="E74" s="1212"/>
      <c r="F74" s="1212"/>
      <c r="G74" s="1212"/>
      <c r="H74" s="1915" t="s">
        <v>796</v>
      </c>
      <c r="I74" s="1212"/>
      <c r="J74" s="1212"/>
      <c r="K74" s="1212"/>
      <c r="L74" s="1212"/>
      <c r="M74" s="1212"/>
      <c r="N74" s="1212"/>
      <c r="O74" s="1212"/>
      <c r="P74" s="1212"/>
      <c r="Q74" s="1213"/>
      <c r="S74" s="101"/>
      <c r="Y74" s="1088"/>
      <c r="Z74" s="1079"/>
      <c r="AA74" s="1079"/>
      <c r="AB74" s="1079"/>
      <c r="AC74" s="1079"/>
      <c r="AD74" s="1079"/>
      <c r="AE74" s="1079"/>
      <c r="AF74" s="1079"/>
      <c r="AG74" s="1080"/>
      <c r="AH74" s="1088"/>
      <c r="AI74" s="1079"/>
      <c r="AJ74" s="1079"/>
      <c r="AK74" s="1079"/>
      <c r="AL74" s="1079"/>
      <c r="AM74" s="1080"/>
    </row>
    <row r="75" spans="2:39" ht="15.65" customHeight="1" x14ac:dyDescent="0.25">
      <c r="B75" s="1214"/>
      <c r="C75" s="1215"/>
      <c r="D75" s="1215"/>
      <c r="E75" s="1111" t="s">
        <v>278</v>
      </c>
      <c r="F75" s="1111" t="s">
        <v>279</v>
      </c>
      <c r="G75" s="1091" t="s">
        <v>184</v>
      </c>
      <c r="H75" s="1916"/>
      <c r="I75" s="1215"/>
      <c r="J75" s="1215"/>
      <c r="K75" s="1215"/>
      <c r="L75" s="1215"/>
      <c r="M75" s="1215"/>
      <c r="N75" s="1215"/>
      <c r="O75" s="1091" t="s">
        <v>82</v>
      </c>
      <c r="P75" s="1215"/>
      <c r="Q75" s="1216"/>
      <c r="S75" s="101"/>
      <c r="Y75" s="1466" t="s">
        <v>77</v>
      </c>
      <c r="Z75" s="1467" t="s">
        <v>94</v>
      </c>
      <c r="AA75" s="1079"/>
      <c r="AB75" s="1079"/>
      <c r="AC75" s="1079"/>
      <c r="AD75" s="1079"/>
      <c r="AE75" s="1079"/>
      <c r="AF75" s="1079"/>
      <c r="AG75" s="1080"/>
      <c r="AH75" s="1088"/>
      <c r="AI75" s="1079"/>
      <c r="AJ75" s="1079"/>
      <c r="AK75" s="1079"/>
      <c r="AL75" s="1079"/>
      <c r="AM75" s="1080"/>
    </row>
    <row r="76" spans="2:39" ht="15.65" customHeight="1" x14ac:dyDescent="0.25">
      <c r="B76" s="1217"/>
      <c r="C76" s="1218"/>
      <c r="D76" s="1218"/>
      <c r="E76" s="1218"/>
      <c r="F76" s="1218"/>
      <c r="G76" s="1218"/>
      <c r="H76" s="1218"/>
      <c r="I76" s="1218"/>
      <c r="J76" s="1218"/>
      <c r="K76" s="1218"/>
      <c r="L76" s="1218"/>
      <c r="M76" s="1218"/>
      <c r="N76" s="1218"/>
      <c r="O76" s="1218"/>
      <c r="P76" s="1218"/>
      <c r="Q76" s="1219"/>
      <c r="S76" s="101"/>
      <c r="Y76" s="1121" t="s">
        <v>280</v>
      </c>
      <c r="Z76" s="1123" t="s">
        <v>281</v>
      </c>
      <c r="AA76" s="1079"/>
      <c r="AB76" s="1079"/>
      <c r="AC76" s="1079"/>
      <c r="AD76" s="1079"/>
      <c r="AE76" s="1079"/>
      <c r="AF76" s="1079"/>
      <c r="AG76" s="1080"/>
      <c r="AH76" s="1088"/>
      <c r="AI76" s="1079"/>
      <c r="AJ76" s="1079"/>
      <c r="AK76" s="1079"/>
      <c r="AL76" s="1079"/>
      <c r="AM76" s="1080"/>
    </row>
    <row r="77" spans="2:39" ht="15.65" customHeight="1" x14ac:dyDescent="0.25">
      <c r="B77" s="1158"/>
      <c r="C77" s="1220" t="s">
        <v>282</v>
      </c>
      <c r="D77" s="1220"/>
      <c r="E77" s="361"/>
      <c r="F77" s="362"/>
      <c r="G77" s="363"/>
      <c r="H77" s="963"/>
      <c r="I77" s="1220"/>
      <c r="J77" s="1220"/>
      <c r="K77" s="1220"/>
      <c r="L77" s="1220"/>
      <c r="M77" s="1220"/>
      <c r="N77" s="1182"/>
      <c r="O77" s="1183">
        <f>IF(AND(F77="",G77="",H77=""),0,IFERROR(Y77*Z77,'Hidden Lists and Summaries'!$C$158))</f>
        <v>0</v>
      </c>
      <c r="P77" s="1184" t="s">
        <v>90</v>
      </c>
      <c r="Q77" s="1221"/>
      <c r="S77" s="101"/>
      <c r="Y77" s="1088">
        <f>H77</f>
        <v>0</v>
      </c>
      <c r="Z77" s="1080">
        <f>F77</f>
        <v>0</v>
      </c>
      <c r="AA77" s="1079"/>
      <c r="AB77" s="1079"/>
      <c r="AC77" s="1079"/>
      <c r="AD77" s="1079"/>
      <c r="AE77" s="1079"/>
      <c r="AF77" s="1079"/>
      <c r="AG77" s="1080"/>
      <c r="AH77" s="1088"/>
      <c r="AI77" s="1079"/>
      <c r="AJ77" s="1079"/>
      <c r="AK77" s="1079"/>
      <c r="AL77" s="1079"/>
      <c r="AM77" s="1080"/>
    </row>
    <row r="78" spans="2:39" ht="15.65" customHeight="1" x14ac:dyDescent="0.25">
      <c r="B78" s="1158"/>
      <c r="C78" s="1220" t="s">
        <v>283</v>
      </c>
      <c r="D78" s="1220"/>
      <c r="E78" s="365"/>
      <c r="F78" s="366"/>
      <c r="G78" s="366"/>
      <c r="H78" s="964"/>
      <c r="I78" s="1220"/>
      <c r="J78" s="1220"/>
      <c r="K78" s="1220"/>
      <c r="L78" s="1220"/>
      <c r="M78" s="1220"/>
      <c r="N78" s="1130"/>
      <c r="O78" s="1131">
        <f>IF(AND(F78="",G78="",H78=""),0,IFERROR(Y78*Z78,'Hidden Lists and Summaries'!$C$158))</f>
        <v>0</v>
      </c>
      <c r="P78" s="1132" t="s">
        <v>90</v>
      </c>
      <c r="Q78" s="1221"/>
      <c r="S78" s="101"/>
      <c r="Y78" s="1088">
        <f>H78</f>
        <v>0</v>
      </c>
      <c r="Z78" s="1080">
        <f>F78</f>
        <v>0</v>
      </c>
      <c r="AA78" s="1079"/>
      <c r="AB78" s="1079"/>
      <c r="AC78" s="1079"/>
      <c r="AD78" s="1079"/>
      <c r="AE78" s="1079"/>
      <c r="AF78" s="1079"/>
      <c r="AG78" s="1080"/>
      <c r="AH78" s="1088"/>
      <c r="AI78" s="1079"/>
      <c r="AJ78" s="1079"/>
      <c r="AK78" s="1079"/>
      <c r="AL78" s="1079"/>
      <c r="AM78" s="1080"/>
    </row>
    <row r="79" spans="2:39" ht="15.65" customHeight="1" x14ac:dyDescent="0.25">
      <c r="B79" s="1158"/>
      <c r="C79" s="1220" t="s">
        <v>284</v>
      </c>
      <c r="D79" s="1220"/>
      <c r="E79" s="368"/>
      <c r="F79" s="366"/>
      <c r="G79" s="366"/>
      <c r="H79" s="965"/>
      <c r="I79" s="1220"/>
      <c r="J79" s="1220"/>
      <c r="K79" s="1220"/>
      <c r="L79" s="1220"/>
      <c r="M79" s="1220"/>
      <c r="N79" s="1130"/>
      <c r="O79" s="1131">
        <f>IF(AND(F79="",G79="",H79=""),0,IFERROR(Y79*Z79,'Hidden Lists and Summaries'!$C$158))</f>
        <v>0</v>
      </c>
      <c r="P79" s="1132" t="s">
        <v>90</v>
      </c>
      <c r="Q79" s="1221"/>
      <c r="S79" s="101"/>
      <c r="Y79" s="1088">
        <f>H79</f>
        <v>0</v>
      </c>
      <c r="Z79" s="1080">
        <f>F79</f>
        <v>0</v>
      </c>
      <c r="AA79" s="1079"/>
      <c r="AB79" s="1079"/>
      <c r="AC79" s="1079"/>
      <c r="AD79" s="1079"/>
      <c r="AE79" s="1079"/>
      <c r="AF79" s="1079"/>
      <c r="AG79" s="1080"/>
      <c r="AH79" s="1088"/>
      <c r="AI79" s="1079"/>
      <c r="AJ79" s="1079"/>
      <c r="AK79" s="1079"/>
      <c r="AL79" s="1079"/>
      <c r="AM79" s="1080"/>
    </row>
    <row r="80" spans="2:39" ht="15.65" customHeight="1" x14ac:dyDescent="0.25">
      <c r="B80" s="1158"/>
      <c r="C80" s="1220" t="s">
        <v>285</v>
      </c>
      <c r="D80" s="1220"/>
      <c r="E80" s="370"/>
      <c r="F80" s="371"/>
      <c r="G80" s="371"/>
      <c r="H80" s="966"/>
      <c r="I80" s="1220"/>
      <c r="J80" s="1220"/>
      <c r="K80" s="1220"/>
      <c r="L80" s="1220"/>
      <c r="M80" s="1220"/>
      <c r="N80" s="1222"/>
      <c r="O80" s="1131">
        <f>IF(AND(F80="",G80="",H80=""),0,IFERROR(Y80*Z80,'Hidden Lists and Summaries'!$C$158))</f>
        <v>0</v>
      </c>
      <c r="P80" s="1132" t="s">
        <v>90</v>
      </c>
      <c r="Q80" s="1221"/>
      <c r="S80" s="101"/>
      <c r="Y80" s="1197">
        <f>H80</f>
        <v>0</v>
      </c>
      <c r="Z80" s="1143">
        <f>F80</f>
        <v>0</v>
      </c>
      <c r="AA80" s="1079"/>
      <c r="AB80" s="1079"/>
      <c r="AC80" s="1079"/>
      <c r="AD80" s="1079"/>
      <c r="AE80" s="1079"/>
      <c r="AF80" s="1079"/>
      <c r="AG80" s="1080"/>
      <c r="AH80" s="1088"/>
      <c r="AI80" s="1079"/>
      <c r="AJ80" s="1079"/>
      <c r="AK80" s="1079"/>
      <c r="AL80" s="1079"/>
      <c r="AM80" s="1080"/>
    </row>
    <row r="81" spans="2:39" ht="15.65" customHeight="1" x14ac:dyDescent="0.25">
      <c r="B81" s="1223"/>
      <c r="C81" s="1161"/>
      <c r="D81" s="1161"/>
      <c r="E81" s="1161"/>
      <c r="F81" s="1161"/>
      <c r="G81" s="1161"/>
      <c r="H81" s="1161"/>
      <c r="I81" s="1161"/>
      <c r="J81" s="1161"/>
      <c r="K81" s="1161"/>
      <c r="L81" s="1161"/>
      <c r="M81" s="1161"/>
      <c r="N81" s="1224" t="s">
        <v>120</v>
      </c>
      <c r="O81" s="1225">
        <f>SUM(O77:O80)</f>
        <v>0</v>
      </c>
      <c r="P81" s="1226" t="s">
        <v>90</v>
      </c>
      <c r="Q81" s="1227"/>
      <c r="S81" s="101"/>
      <c r="Y81" s="1088"/>
      <c r="Z81" s="1079"/>
      <c r="AA81" s="1079"/>
      <c r="AB81" s="1079"/>
      <c r="AC81" s="1079"/>
      <c r="AD81" s="1079"/>
      <c r="AE81" s="1079"/>
      <c r="AF81" s="1079"/>
      <c r="AG81" s="1080"/>
      <c r="AH81" s="1088"/>
      <c r="AI81" s="1079">
        <f>O81</f>
        <v>0</v>
      </c>
      <c r="AJ81" s="1079"/>
      <c r="AK81" s="1079" t="str">
        <f>'Hidden Lists and Summaries'!B5</f>
        <v>Embodied (Upstream)</v>
      </c>
      <c r="AL81" s="1079"/>
      <c r="AM81" s="1080" t="s">
        <v>286</v>
      </c>
    </row>
    <row r="82" spans="2:39" ht="15.65" customHeight="1" x14ac:dyDescent="0.25">
      <c r="B82" s="1118"/>
      <c r="C82" s="1118"/>
      <c r="D82" s="1118"/>
      <c r="E82" s="1118"/>
      <c r="F82" s="1118"/>
      <c r="G82" s="1118"/>
      <c r="H82" s="1118"/>
      <c r="I82" s="1118"/>
      <c r="J82" s="1118"/>
      <c r="K82" s="1118"/>
      <c r="L82" s="1118"/>
      <c r="M82" s="1118"/>
      <c r="N82" s="1118"/>
      <c r="O82" s="1118"/>
      <c r="P82" s="1118"/>
      <c r="Q82" s="1118"/>
      <c r="S82" s="101"/>
      <c r="Y82" s="1088"/>
      <c r="Z82" s="1079"/>
      <c r="AA82" s="1079"/>
      <c r="AB82" s="1079"/>
      <c r="AC82" s="1102"/>
      <c r="AD82" s="1079"/>
      <c r="AE82" s="1079"/>
      <c r="AF82" s="1079"/>
      <c r="AG82" s="1080"/>
      <c r="AH82" s="1088"/>
      <c r="AI82" s="1079"/>
      <c r="AJ82" s="1079"/>
      <c r="AK82" s="1079"/>
      <c r="AL82" s="1079"/>
      <c r="AM82" s="1080"/>
    </row>
    <row r="83" spans="2:39" ht="15.65" customHeight="1" x14ac:dyDescent="0.25">
      <c r="B83" s="1081"/>
      <c r="C83" s="1082"/>
      <c r="D83" s="1082"/>
      <c r="E83" s="1082"/>
      <c r="F83" s="1082"/>
      <c r="G83" s="1082"/>
      <c r="H83" s="1907" t="s">
        <v>287</v>
      </c>
      <c r="I83" s="1907"/>
      <c r="J83" s="1907"/>
      <c r="K83" s="1082"/>
      <c r="L83" s="1082"/>
      <c r="M83" s="1082"/>
      <c r="N83" s="1082"/>
      <c r="O83" s="1082"/>
      <c r="P83" s="1082"/>
      <c r="Q83" s="1083"/>
      <c r="Y83" s="1088"/>
      <c r="Z83" s="1079"/>
      <c r="AA83" s="1079"/>
      <c r="AB83" s="1079"/>
      <c r="AC83" s="1102"/>
      <c r="AD83" s="1079"/>
      <c r="AE83" s="1079"/>
      <c r="AF83" s="1079"/>
      <c r="AG83" s="1080"/>
      <c r="AH83" s="1088"/>
      <c r="AI83" s="1079"/>
      <c r="AJ83" s="1079"/>
      <c r="AK83" s="1079"/>
      <c r="AL83" s="1079"/>
      <c r="AM83" s="1080"/>
    </row>
    <row r="84" spans="2:39" ht="15.65" customHeight="1" x14ac:dyDescent="0.25">
      <c r="B84" s="1084"/>
      <c r="C84" s="1198" t="s">
        <v>288</v>
      </c>
      <c r="D84" s="1151"/>
      <c r="E84" s="1151"/>
      <c r="F84" s="1151"/>
      <c r="G84" s="1151"/>
      <c r="H84" s="1151"/>
      <c r="I84" s="1915" t="s">
        <v>797</v>
      </c>
      <c r="J84" s="1902" t="s">
        <v>289</v>
      </c>
      <c r="K84" s="1902" t="s">
        <v>515</v>
      </c>
      <c r="L84" s="1151"/>
      <c r="M84" s="1151"/>
      <c r="N84" s="1151"/>
      <c r="O84" s="1151"/>
      <c r="P84" s="1151"/>
      <c r="Q84" s="1087"/>
      <c r="Y84" s="1088"/>
      <c r="Z84" s="1079"/>
      <c r="AA84" s="1079"/>
      <c r="AB84" s="1079"/>
      <c r="AC84" s="1102"/>
      <c r="AD84" s="1079"/>
      <c r="AE84" s="1079"/>
      <c r="AF84" s="1079"/>
      <c r="AG84" s="1080"/>
      <c r="AH84" s="1088"/>
      <c r="AI84" s="1079"/>
      <c r="AJ84" s="1079"/>
      <c r="AK84" s="1079"/>
      <c r="AL84" s="1079"/>
      <c r="AM84" s="1080"/>
    </row>
    <row r="85" spans="2:39" ht="15.65" customHeight="1" x14ac:dyDescent="0.25">
      <c r="B85" s="1089"/>
      <c r="C85" s="1090"/>
      <c r="D85" s="1090"/>
      <c r="E85" s="1091" t="s">
        <v>112</v>
      </c>
      <c r="F85" s="1091" t="s">
        <v>117</v>
      </c>
      <c r="G85" s="1091" t="s">
        <v>119</v>
      </c>
      <c r="H85" s="1111" t="s">
        <v>184</v>
      </c>
      <c r="I85" s="1916"/>
      <c r="J85" s="1896"/>
      <c r="K85" s="1896"/>
      <c r="L85" s="1093"/>
      <c r="M85" s="1093"/>
      <c r="N85" s="1093"/>
      <c r="O85" s="1091" t="s">
        <v>82</v>
      </c>
      <c r="P85" s="1093"/>
      <c r="Q85" s="1112"/>
      <c r="Y85" s="1325" t="s">
        <v>106</v>
      </c>
      <c r="Z85" s="1231" t="s">
        <v>107</v>
      </c>
      <c r="AA85" s="1232" t="s">
        <v>108</v>
      </c>
      <c r="AB85" s="1122" t="s">
        <v>109</v>
      </c>
      <c r="AC85" s="1370"/>
      <c r="AD85" s="1079"/>
      <c r="AE85" s="1079"/>
      <c r="AF85" s="1079"/>
      <c r="AG85" s="1080"/>
      <c r="AH85" s="1088"/>
      <c r="AI85" s="1079"/>
      <c r="AJ85" s="1079"/>
      <c r="AK85" s="1079"/>
      <c r="AL85" s="1079"/>
      <c r="AM85" s="1080"/>
    </row>
    <row r="86" spans="2:39" ht="15.65" customHeight="1" x14ac:dyDescent="0.25">
      <c r="B86" s="1095"/>
      <c r="C86" s="1096"/>
      <c r="D86" s="1096"/>
      <c r="E86" s="1096"/>
      <c r="F86" s="1096"/>
      <c r="G86" s="1096"/>
      <c r="H86" s="1098"/>
      <c r="I86" s="100"/>
      <c r="J86" s="1401"/>
      <c r="K86" s="1096"/>
      <c r="L86" s="1099"/>
      <c r="M86" s="1182"/>
      <c r="N86" s="1402" t="s">
        <v>257</v>
      </c>
      <c r="O86" s="1402" t="s">
        <v>259</v>
      </c>
      <c r="P86" s="1403"/>
      <c r="Q86" s="1099"/>
      <c r="Y86" s="1156" t="s">
        <v>113</v>
      </c>
      <c r="Z86" s="1232" t="s">
        <v>114</v>
      </c>
      <c r="AA86" s="1156" t="s">
        <v>113</v>
      </c>
      <c r="AB86" s="1122" t="s">
        <v>115</v>
      </c>
      <c r="AC86" s="1102"/>
      <c r="AD86" s="1079"/>
      <c r="AE86" s="1079"/>
      <c r="AF86" s="1079"/>
      <c r="AG86" s="1080"/>
      <c r="AH86" s="1088"/>
      <c r="AI86" s="1079"/>
      <c r="AJ86" s="1079"/>
      <c r="AK86" s="1079"/>
      <c r="AL86" s="1079"/>
      <c r="AM86" s="1080"/>
    </row>
    <row r="87" spans="2:39" ht="15.65" customHeight="1" x14ac:dyDescent="0.25">
      <c r="B87" s="1095"/>
      <c r="C87" s="1113" t="s">
        <v>291</v>
      </c>
      <c r="D87" s="1096"/>
      <c r="E87" s="967"/>
      <c r="F87" s="968"/>
      <c r="G87" s="374"/>
      <c r="H87" s="427"/>
      <c r="I87" s="975"/>
      <c r="J87" s="976"/>
      <c r="K87" s="977"/>
      <c r="L87" s="1099"/>
      <c r="M87" s="1131"/>
      <c r="N87" s="1131">
        <f>IF(AND(E87="",F87="",G87="",H87="",I87="",J87="",K87=""),0,IFERROR(Z87*AA87*AB87,'Hidden Lists and Summaries'!$C$158))</f>
        <v>0</v>
      </c>
      <c r="O87" s="1131">
        <f>IF(AND(E87="",F87="",G87="",H87="",I87="",J87="",K87=""),0,IFERROR(Y87*Z87*AB87,'Hidden Lists and Summaries'!$C$158))</f>
        <v>0</v>
      </c>
      <c r="P87" s="1132" t="s">
        <v>90</v>
      </c>
      <c r="Q87" s="1099"/>
      <c r="Y87" s="1404" t="str">
        <f>IF(I87&lt;&gt;"",I87,
IF(E87="Solid Fuel",VLOOKUP(F87,'Key Values'!$B$40:$G$58,6,FALSE),
IF(E87="Gaseous Fuel", VLOOKUP(F87,'Key Values'!$B$71:$G$88,6,FALSE),
IF(E87="Liquid Fuel", VLOOKUP(F87,'Key Values'!$B$100:$H$120,7,FALSE),
'Hidden Lists and Summaries'!$C$157))))</f>
        <v>No default, please enter a bespoke value</v>
      </c>
      <c r="Z87" s="1148" t="e">
        <f>IF(J87&lt;&gt;"",J87,IF(E87="Solid Fuel",VLOOKUP(F87,'Key Values'!$B$40:$G$58,2,FALSE),
IF(E87="Gaseous Fuel",VLOOKUP(F87,'Key Values'!$B$71:$G$88,2,FALSE),
VLOOKUP(F87,'Key Values'!$B$100:$H$120,2,FALSE))))</f>
        <v>#N/A</v>
      </c>
      <c r="AA87" s="1405" t="e" cm="1">
        <f t="array" ref="AA87">_xlfn.IFS(K87&lt;&gt;"",K87,E87="Solid Fuel", VLOOKUP(F87,'Key Values'!$B$61:$C$68,2,FALSE),
E87="Liquid fuel",VLOOKUP(F87,'Key Values'!$B$123:$C$143,2,FALSE),
E87="Gaseous Fuel", IF(VLOOKUP(F87,GasFuel[#All],7,FALSE)=TRUE,IF(F87='Key Values'!$B$77,'Hidden Lists and Summaries'!$C$157,VLOOKUP(iq_location,GaseousFuelEmbodiedEmissions[#All],IF(iq_metro="Yes",2,3),FALSE)),'Hidden Lists and Summaries'!$C$157))</f>
        <v>#N/A</v>
      </c>
      <c r="AB87" s="1406" t="e" cm="1">
        <f t="array" ref="AB87">_xlfn.IFS('Key Values'!$B$35=E87, VLOOKUP(H87,massConv[#All], 2, FALSE),
'Key Values'!$B$36=E87, IF(VLOOKUP(F87,'Key Values'!$B$101:$H$121,3,FALSE)="GJ/t", VLOOKUP(H87,massConv[#All], 2, FALSE), VLOOKUP(H87,volConv[#All], 2, FALSE)),
'Key Values'!$B$37=E87, VLOOKUP(H87,volConv[#All], 2, FALSE)) * G87</f>
        <v>#N/A</v>
      </c>
      <c r="AC87" s="101"/>
      <c r="AD87" s="1079"/>
      <c r="AE87" s="1079"/>
      <c r="AF87" s="1079"/>
      <c r="AG87" s="1080"/>
      <c r="AH87" s="1088"/>
      <c r="AI87" s="1079"/>
      <c r="AJ87" s="1079"/>
      <c r="AK87" s="1079"/>
      <c r="AL87" s="1079"/>
      <c r="AM87" s="1080"/>
    </row>
    <row r="88" spans="2:39" ht="15.65" customHeight="1" x14ac:dyDescent="0.25">
      <c r="B88" s="1095"/>
      <c r="C88" s="1113" t="s">
        <v>292</v>
      </c>
      <c r="D88" s="1096"/>
      <c r="E88" s="969"/>
      <c r="F88" s="970"/>
      <c r="G88" s="379"/>
      <c r="H88" s="380"/>
      <c r="I88" s="978"/>
      <c r="J88" s="979"/>
      <c r="K88" s="980"/>
      <c r="L88" s="1099"/>
      <c r="M88" s="1131"/>
      <c r="N88" s="1131">
        <f>IF(AND(E88="",F88="",G88="",H88="",I88="",J88="",K88=""),0,IFERROR(Z88*AA88*AB88,'Hidden Lists and Summaries'!$C$158))</f>
        <v>0</v>
      </c>
      <c r="O88" s="1131">
        <f>IF(AND(E88="",F88="",G88="",H88="",I88="",J88="",K88=""),0,IFERROR(Y88*Z88*AB88,'Hidden Lists and Summaries'!$C$158))</f>
        <v>0</v>
      </c>
      <c r="P88" s="1132" t="s">
        <v>90</v>
      </c>
      <c r="Q88" s="1099"/>
      <c r="Y88" s="1340" t="str">
        <f>IF(I88&lt;&gt;"",I88,
IF(E88="Solid Fuel",VLOOKUP(F88,'Key Values'!$B$40:$G$58,6,FALSE),
IF(E88="Gaseous Fuel", VLOOKUP(F88,'Key Values'!$B$71:$G$88,6,FALSE),
IF(E88="Liquid Fuel", VLOOKUP(F88,'Key Values'!$B$100:$H$120,7,FALSE),
'Hidden Lists and Summaries'!$C$157))))</f>
        <v>No default, please enter a bespoke value</v>
      </c>
      <c r="Z88" s="1079" t="e">
        <f>IF(J88&lt;&gt;"",J88,IF(E88="Solid Fuel",VLOOKUP(F88,'Key Values'!$B$40:$G$58,2,FALSE),
IF(E88="Gaseous Fuel",VLOOKUP(F88,'Key Values'!$B$71:$G$88,2,FALSE),
VLOOKUP(F88,'Key Values'!$B$100:$H$120,2,FALSE))))</f>
        <v>#N/A</v>
      </c>
      <c r="AA88" s="1234" t="e" cm="1">
        <f t="array" ref="AA88">_xlfn.IFS(K88&lt;&gt;"",K88,E88="Solid Fuel", VLOOKUP(F88,'Key Values'!$B$61:$C$68,2,FALSE),
E88="Liquid fuel",VLOOKUP(F88,'Key Values'!$B$123:$C$143,2,FALSE),
E88="Gaseous Fuel", IF(VLOOKUP(F88,GasFuel[#All],7,FALSE)=TRUE,IF(F88='Key Values'!$B$77,'Hidden Lists and Summaries'!$C$157,VLOOKUP(iq_location,GaseousFuelEmbodiedEmissions[#All],IF(iq_metro="Yes",2,3),FALSE)),'Hidden Lists and Summaries'!$C$157))</f>
        <v>#N/A</v>
      </c>
      <c r="AB88" s="1333" t="e" cm="1">
        <f t="array" ref="AB88">_xlfn.IFS('Key Values'!$B$35=E88, VLOOKUP(H88,massConv[#All], 2, FALSE),
'Key Values'!$B$36=E88, IF(VLOOKUP(F88,'Key Values'!$B$101:$H$121,3,FALSE)="GJ/t", VLOOKUP(H88,massConv[#All], 2, FALSE), VLOOKUP(H88,volConv[#All], 2, FALSE)),
'Key Values'!$B$37=E88, VLOOKUP(H88,volConv[#All], 2, FALSE)) * G88</f>
        <v>#N/A</v>
      </c>
      <c r="AC88" s="1079"/>
      <c r="AD88" s="1079"/>
      <c r="AE88" s="1079"/>
      <c r="AF88" s="1079"/>
      <c r="AG88" s="1080"/>
      <c r="AH88" s="1088"/>
      <c r="AI88" s="1079"/>
      <c r="AJ88" s="1079"/>
      <c r="AK88" s="1079"/>
      <c r="AL88" s="1079"/>
      <c r="AM88" s="1080"/>
    </row>
    <row r="89" spans="2:39" ht="15.65" customHeight="1" x14ac:dyDescent="0.25">
      <c r="B89" s="1095"/>
      <c r="C89" s="1113" t="s">
        <v>293</v>
      </c>
      <c r="D89" s="1096"/>
      <c r="E89" s="971"/>
      <c r="F89" s="972"/>
      <c r="G89" s="386"/>
      <c r="H89" s="380"/>
      <c r="I89" s="978"/>
      <c r="J89" s="979"/>
      <c r="K89" s="981"/>
      <c r="L89" s="1099"/>
      <c r="M89" s="1131"/>
      <c r="N89" s="1131">
        <f>IF(AND(E89="",F89="",G89="",H89="",I89="",J89="",K89=""),0,IFERROR(Z89*AA89*AB89,'Hidden Lists and Summaries'!$C$158))</f>
        <v>0</v>
      </c>
      <c r="O89" s="1131">
        <f>IF(AND(E89="",F89="",G89="",H89="",I89="",J89="",K89=""),0,IFERROR(Y89*Z89*AB89,'Hidden Lists and Summaries'!$C$158))</f>
        <v>0</v>
      </c>
      <c r="P89" s="1132" t="s">
        <v>90</v>
      </c>
      <c r="Q89" s="1099"/>
      <c r="Y89" s="1340" t="str">
        <f>IF(I89&lt;&gt;"",I89,
IF(E89="Solid Fuel",VLOOKUP(F89,'Key Values'!$B$40:$G$58,6,FALSE),
IF(E89="Gaseous Fuel", VLOOKUP(F89,'Key Values'!$B$71:$G$88,6,FALSE),
IF(E89="Liquid Fuel", VLOOKUP(F89,'Key Values'!$B$100:$H$120,7,FALSE),
'Hidden Lists and Summaries'!$C$157))))</f>
        <v>No default, please enter a bespoke value</v>
      </c>
      <c r="Z89" s="1079" t="e">
        <f>IF(J89&lt;&gt;"",J89,IF(E89="Solid Fuel",VLOOKUP(F89,'Key Values'!$B$40:$G$58,2,FALSE),
IF(E89="Gaseous Fuel",VLOOKUP(F89,'Key Values'!$B$71:$G$88,2,FALSE),
VLOOKUP(F89,'Key Values'!$B$100:$H$120,2,FALSE))))</f>
        <v>#N/A</v>
      </c>
      <c r="AA89" s="1234" t="e" cm="1">
        <f t="array" ref="AA89">_xlfn.IFS(K89&lt;&gt;"",K89,E89="Solid Fuel", VLOOKUP(F89,'Key Values'!$B$61:$C$68,2,FALSE),
E89="Liquid fuel",VLOOKUP(F89,'Key Values'!$B$123:$C$143,2,FALSE),
E89="Gaseous Fuel", IF(VLOOKUP(F89,GasFuel[#All],7,FALSE)=TRUE,IF(F89='Key Values'!$B$77,'Hidden Lists and Summaries'!$C$157,VLOOKUP(iq_location,GaseousFuelEmbodiedEmissions[#All],IF(iq_metro="Yes",2,3),FALSE)),'Hidden Lists and Summaries'!$C$157))</f>
        <v>#N/A</v>
      </c>
      <c r="AB89" s="1333" t="e" cm="1">
        <f t="array" ref="AB89">_xlfn.IFS('Key Values'!$B$35=E89, VLOOKUP(H89,massConv[#All], 2, FALSE),
'Key Values'!$B$36=E89, IF(VLOOKUP(F89,'Key Values'!$B$101:$H$121,3,FALSE)="GJ/t", VLOOKUP(H89,massConv[#All], 2, FALSE), VLOOKUP(H89,volConv[#All], 2, FALSE)),
'Key Values'!$B$37=E89, VLOOKUP(H89,volConv[#All], 2, FALSE)) * G89</f>
        <v>#N/A</v>
      </c>
      <c r="AC89" s="1079"/>
      <c r="AD89" s="1079"/>
      <c r="AE89" s="1079"/>
      <c r="AF89" s="1079"/>
      <c r="AG89" s="1080"/>
      <c r="AH89" s="1088"/>
      <c r="AI89" s="1079"/>
      <c r="AJ89" s="1079"/>
      <c r="AK89" s="1079"/>
      <c r="AL89" s="1079"/>
      <c r="AM89" s="1080"/>
    </row>
    <row r="90" spans="2:39" ht="15.65" customHeight="1" x14ac:dyDescent="0.25">
      <c r="B90" s="1095"/>
      <c r="C90" s="1113" t="s">
        <v>294</v>
      </c>
      <c r="D90" s="1096"/>
      <c r="E90" s="971"/>
      <c r="F90" s="972"/>
      <c r="G90" s="387"/>
      <c r="H90" s="380"/>
      <c r="I90" s="982"/>
      <c r="J90" s="983"/>
      <c r="K90" s="981"/>
      <c r="L90" s="1099"/>
      <c r="M90" s="1131"/>
      <c r="N90" s="1131">
        <f>IF(AND(E90="",F90="",G90="",H90="",I90="",J90="",K90=""),0,IFERROR(Z90*AA90*AB90,'Hidden Lists and Summaries'!$C$158))</f>
        <v>0</v>
      </c>
      <c r="O90" s="1131">
        <f>IF(AND(E90="",F90="",G90="",H90="",I90="",J90="",K90=""),0,IFERROR(Y90*Z90*AB90,'Hidden Lists and Summaries'!$C$158))</f>
        <v>0</v>
      </c>
      <c r="P90" s="1132" t="s">
        <v>90</v>
      </c>
      <c r="Q90" s="1099"/>
      <c r="Y90" s="1340" t="str">
        <f>IF(I90&lt;&gt;"",I90,
IF(E90="Solid Fuel",VLOOKUP(F90,'Key Values'!$B$40:$G$58,6,FALSE),
IF(E90="Gaseous Fuel", VLOOKUP(F90,'Key Values'!$B$71:$G$88,6,FALSE),
IF(E90="Liquid Fuel", VLOOKUP(F90,'Key Values'!$B$100:$H$120,7,FALSE),
'Hidden Lists and Summaries'!$C$157))))</f>
        <v>No default, please enter a bespoke value</v>
      </c>
      <c r="Z90" s="1079" t="e">
        <f>IF(J90&lt;&gt;"",J90,IF(E90="Solid Fuel",VLOOKUP(F90,'Key Values'!$B$40:$G$58,2,FALSE),
IF(E90="Gaseous Fuel",VLOOKUP(F90,'Key Values'!$B$71:$G$88,2,FALSE),
VLOOKUP(F90,'Key Values'!$B$100:$H$120,2,FALSE))))</f>
        <v>#N/A</v>
      </c>
      <c r="AA90" s="1234" t="e" cm="1">
        <f t="array" ref="AA90">_xlfn.IFS(K90&lt;&gt;"",K90,E90="Solid Fuel", VLOOKUP(F90,'Key Values'!$B$61:$C$68,2,FALSE),
E90="Liquid fuel",VLOOKUP(F90,'Key Values'!$B$123:$C$143,2,FALSE),
E90="Gaseous Fuel", IF(VLOOKUP(F90,GasFuel[#All],7,FALSE)=TRUE,IF(F90='Key Values'!$B$77,'Hidden Lists and Summaries'!$C$157,VLOOKUP(iq_location,GaseousFuelEmbodiedEmissions[#All],IF(iq_metro="Yes",2,3),FALSE)),'Hidden Lists and Summaries'!$C$157))</f>
        <v>#N/A</v>
      </c>
      <c r="AB90" s="1333" t="e" cm="1">
        <f t="array" ref="AB90">_xlfn.IFS('Key Values'!$B$35=E90, VLOOKUP(H90,massConv[#All], 2, FALSE),
'Key Values'!$B$36=E90, IF(VLOOKUP(F90,'Key Values'!$B$101:$H$121,3,FALSE)="GJ/t", VLOOKUP(H90,massConv[#All], 2, FALSE), VLOOKUP(H90,volConv[#All], 2, FALSE)),
'Key Values'!$B$37=E90, VLOOKUP(H90,volConv[#All], 2, FALSE)) * G90</f>
        <v>#N/A</v>
      </c>
      <c r="AC90" s="1079"/>
      <c r="AD90" s="1079"/>
      <c r="AE90" s="1079"/>
      <c r="AF90" s="1079"/>
      <c r="AG90" s="1080"/>
      <c r="AH90" s="1088"/>
      <c r="AI90" s="1079"/>
      <c r="AJ90" s="1079"/>
      <c r="AK90" s="1079"/>
      <c r="AL90" s="1079"/>
      <c r="AM90" s="1080"/>
    </row>
    <row r="91" spans="2:39" x14ac:dyDescent="0.25">
      <c r="B91" s="1095"/>
      <c r="C91" s="1113" t="s">
        <v>295</v>
      </c>
      <c r="D91" s="1096"/>
      <c r="E91" s="973"/>
      <c r="F91" s="974"/>
      <c r="G91" s="392"/>
      <c r="H91" s="396"/>
      <c r="I91" s="984"/>
      <c r="J91" s="985"/>
      <c r="K91" s="986"/>
      <c r="L91" s="1099"/>
      <c r="M91" s="1131"/>
      <c r="N91" s="1131">
        <f>IF(AND(E91="",F91="",G91="",H91="",I91="",J91="",K91=""),0,IFERROR(Z91*AA91*AB91,'Hidden Lists and Summaries'!$C$158))</f>
        <v>0</v>
      </c>
      <c r="O91" s="1131">
        <f>IF(AND(E91="",F91="",G91="",H91="",I91="",J91="",K91=""),0,IFERROR(Y91*Z91*AB91,'Hidden Lists and Summaries'!$C$158))</f>
        <v>0</v>
      </c>
      <c r="P91" s="1132" t="s">
        <v>90</v>
      </c>
      <c r="Q91" s="1099"/>
      <c r="Y91" s="1407" t="str">
        <f>IF(I91&lt;&gt;"",I91,
IF(E91="Solid Fuel",VLOOKUP(F91,'Key Values'!$B$40:$G$58,6,FALSE),
IF(E91="Gaseous Fuel", VLOOKUP(F91,'Key Values'!$B$71:$G$88,6,FALSE),
IF(E91="Liquid Fuel", VLOOKUP(F91,'Key Values'!$B$100:$H$120,7,FALSE),
'Hidden Lists and Summaries'!$C$157))))</f>
        <v>No default, please enter a bespoke value</v>
      </c>
      <c r="Z91" s="1142" t="e">
        <f>IF(J91&lt;&gt;"",J91,IF(E91="Solid Fuel",VLOOKUP(F91,'Key Values'!$B$40:$G$58,2,FALSE),
IF(E91="Gaseous Fuel",VLOOKUP(F91,'Key Values'!$B$71:$G$88,2,FALSE),
VLOOKUP(F91,'Key Values'!$B$100:$H$120,2,FALSE))))</f>
        <v>#N/A</v>
      </c>
      <c r="AA91" s="1237" t="e" cm="1">
        <f t="array" ref="AA91">_xlfn.IFS(K91&lt;&gt;"",K91,E91="Solid Fuel", VLOOKUP(F91,'Key Values'!$B$61:$C$68,2,FALSE),
E91="Liquid fuel",VLOOKUP(F91,'Key Values'!$B$123:$C$143,2,FALSE),
E91="Gaseous Fuel", IF(VLOOKUP(F91,GasFuel[#All],7,FALSE)=TRUE,IF(F91='Key Values'!$B$77,'Hidden Lists and Summaries'!$C$157,VLOOKUP(iq_location,GaseousFuelEmbodiedEmissions[#All],IF(iq_metro="Yes",2,3),FALSE)),'Hidden Lists and Summaries'!$C$157))</f>
        <v>#N/A</v>
      </c>
      <c r="AB91" s="1334" t="e" cm="1">
        <f t="array" ref="AB91">_xlfn.IFS('Key Values'!$B$35=E91, VLOOKUP(H91,massConv[#All], 2, FALSE),
'Key Values'!$B$36=E91, IF(VLOOKUP(F91,'Key Values'!$B$101:$H$121,3,FALSE)="GJ/t", VLOOKUP(H91,massConv[#All], 2, FALSE), VLOOKUP(H91,volConv[#All], 2, FALSE)),
'Key Values'!$B$37=E91, VLOOKUP(H91,volConv[#All], 2, FALSE)) * G91</f>
        <v>#N/A</v>
      </c>
      <c r="AC91" s="1079"/>
      <c r="AD91" s="1079"/>
      <c r="AE91" s="1079"/>
      <c r="AF91" s="1079"/>
      <c r="AG91" s="1080"/>
      <c r="AH91" s="1088"/>
      <c r="AI91" s="1079"/>
      <c r="AJ91" s="1079"/>
      <c r="AK91" s="1079"/>
      <c r="AL91" s="1079"/>
      <c r="AM91" s="1080"/>
    </row>
    <row r="92" spans="2:39" ht="15.65" customHeight="1" x14ac:dyDescent="0.25">
      <c r="B92" s="1105"/>
      <c r="C92" s="1106"/>
      <c r="D92" s="1106"/>
      <c r="E92" s="1106"/>
      <c r="F92" s="1335"/>
      <c r="G92" s="1239"/>
      <c r="H92" s="1115"/>
      <c r="I92" s="1115"/>
      <c r="J92" s="1106"/>
      <c r="K92" s="1106"/>
      <c r="L92" s="1107"/>
      <c r="M92" s="1241" t="s">
        <v>120</v>
      </c>
      <c r="N92" s="1242">
        <f>SUM(N87:N91)</f>
        <v>0</v>
      </c>
      <c r="O92" s="1145">
        <f>SUM(O87:O91)</f>
        <v>0</v>
      </c>
      <c r="P92" s="1146" t="s">
        <v>90</v>
      </c>
      <c r="Q92" s="1107"/>
      <c r="Y92" s="1088"/>
      <c r="Z92" s="1079"/>
      <c r="AA92" s="1079"/>
      <c r="AB92" s="1138"/>
      <c r="AC92" s="1079"/>
      <c r="AD92" s="1079"/>
      <c r="AE92" s="1079"/>
      <c r="AF92" s="1079"/>
      <c r="AG92" s="1080"/>
      <c r="AH92" s="1088">
        <f>N92</f>
        <v>0</v>
      </c>
      <c r="AI92" s="1079">
        <f>O92</f>
        <v>0</v>
      </c>
      <c r="AJ92" s="1079" t="str">
        <f>'Hidden Lists and Summaries'!B5</f>
        <v>Embodied (Upstream)</v>
      </c>
      <c r="AK92" s="1079" t="str">
        <f>'Hidden Lists and Summaries'!B8</f>
        <v>Fuel Combustion</v>
      </c>
      <c r="AL92" s="1079" t="s">
        <v>243</v>
      </c>
      <c r="AM92" s="1080"/>
    </row>
    <row r="93" spans="2:39" ht="15.65" customHeight="1" x14ac:dyDescent="0.25">
      <c r="B93" s="1118"/>
      <c r="C93" s="1118"/>
      <c r="D93" s="1118"/>
      <c r="E93" s="1118"/>
      <c r="F93" s="1118"/>
      <c r="G93" s="1118"/>
      <c r="H93" s="1118"/>
      <c r="I93" s="1118"/>
      <c r="J93" s="1118"/>
      <c r="K93" s="1118"/>
      <c r="L93" s="1118"/>
      <c r="M93" s="1118"/>
      <c r="N93" s="1118"/>
      <c r="O93" s="1118"/>
      <c r="P93" s="1118"/>
      <c r="Q93" s="1118"/>
      <c r="Y93" s="1088"/>
      <c r="Z93" s="1079"/>
      <c r="AA93" s="1079"/>
      <c r="AB93" s="1079"/>
      <c r="AC93" s="1079"/>
      <c r="AD93" s="1079"/>
      <c r="AE93" s="1079"/>
      <c r="AF93" s="1079"/>
      <c r="AG93" s="1080"/>
      <c r="AH93" s="1088"/>
      <c r="AI93" s="1079"/>
      <c r="AJ93" s="1079"/>
      <c r="AK93" s="1079"/>
      <c r="AL93" s="1079"/>
      <c r="AM93" s="1080"/>
    </row>
    <row r="94" spans="2:39" ht="15.65" customHeight="1" x14ac:dyDescent="0.25">
      <c r="B94" s="1081"/>
      <c r="C94" s="1082"/>
      <c r="D94" s="1082"/>
      <c r="E94" s="1082"/>
      <c r="F94" s="1082"/>
      <c r="G94" s="1082"/>
      <c r="H94" s="1082"/>
      <c r="I94" s="1082"/>
      <c r="J94" s="1082"/>
      <c r="K94" s="1082"/>
      <c r="L94" s="1082"/>
      <c r="M94" s="1082"/>
      <c r="N94" s="1082"/>
      <c r="O94" s="1082"/>
      <c r="P94" s="1082"/>
      <c r="Q94" s="1083"/>
      <c r="Y94" s="1088"/>
      <c r="Z94" s="1079"/>
      <c r="AA94" s="1079"/>
      <c r="AB94" s="1079"/>
      <c r="AC94" s="1079"/>
      <c r="AD94" s="1079"/>
      <c r="AE94" s="1079"/>
      <c r="AF94" s="1079"/>
      <c r="AG94" s="1080"/>
      <c r="AH94" s="1088"/>
      <c r="AI94" s="1079"/>
      <c r="AJ94" s="1079"/>
      <c r="AK94" s="1079"/>
      <c r="AL94" s="1079"/>
      <c r="AM94" s="1080"/>
    </row>
    <row r="95" spans="2:39" ht="15.65" customHeight="1" x14ac:dyDescent="0.25">
      <c r="B95" s="1084"/>
      <c r="C95" s="1198" t="s">
        <v>296</v>
      </c>
      <c r="D95" s="1151"/>
      <c r="E95" s="1151"/>
      <c r="F95" s="1151"/>
      <c r="G95" s="1151"/>
      <c r="H95" s="1151"/>
      <c r="I95" s="1151"/>
      <c r="J95" s="1151"/>
      <c r="K95" s="1151"/>
      <c r="L95" s="1151"/>
      <c r="M95" s="1151"/>
      <c r="N95" s="1151"/>
      <c r="O95" s="1151"/>
      <c r="P95" s="1151"/>
      <c r="Q95" s="1087"/>
      <c r="Y95" s="1088"/>
      <c r="Z95" s="1079"/>
      <c r="AA95" s="1079"/>
      <c r="AB95" s="1079"/>
      <c r="AC95" s="1079"/>
      <c r="AD95" s="1079"/>
      <c r="AE95" s="1079"/>
      <c r="AF95" s="1079"/>
      <c r="AG95" s="1080"/>
      <c r="AH95" s="1088"/>
      <c r="AI95" s="1079"/>
      <c r="AJ95" s="1079"/>
      <c r="AK95" s="1079"/>
      <c r="AL95" s="1079"/>
      <c r="AM95" s="1080"/>
    </row>
    <row r="96" spans="2:39" ht="15.65" customHeight="1" x14ac:dyDescent="0.25">
      <c r="B96" s="1089"/>
      <c r="C96" s="1090"/>
      <c r="D96" s="1090"/>
      <c r="E96" s="1091" t="s">
        <v>297</v>
      </c>
      <c r="F96" s="1091" t="s">
        <v>298</v>
      </c>
      <c r="G96" s="1111" t="s">
        <v>299</v>
      </c>
      <c r="H96" s="1111" t="s">
        <v>184</v>
      </c>
      <c r="I96" s="1111"/>
      <c r="J96" s="1093"/>
      <c r="K96" s="1093"/>
      <c r="L96" s="1093"/>
      <c r="M96" s="1093"/>
      <c r="N96" s="1093"/>
      <c r="O96" s="1091" t="s">
        <v>82</v>
      </c>
      <c r="P96" s="1093"/>
      <c r="Q96" s="1112"/>
      <c r="Y96" s="1153" t="s">
        <v>300</v>
      </c>
      <c r="Z96" s="1154" t="s">
        <v>301</v>
      </c>
      <c r="AA96" s="1154" t="s">
        <v>516</v>
      </c>
      <c r="AB96" s="1122" t="s">
        <v>94</v>
      </c>
      <c r="AC96" s="1122" t="s">
        <v>303</v>
      </c>
      <c r="AD96" s="1079"/>
      <c r="AE96" s="1079"/>
      <c r="AF96" s="1079"/>
      <c r="AG96" s="1080"/>
      <c r="AH96" s="1088"/>
      <c r="AI96" s="1079"/>
      <c r="AJ96" s="1079"/>
      <c r="AK96" s="1079"/>
      <c r="AL96" s="1079"/>
      <c r="AM96" s="1080"/>
    </row>
    <row r="97" spans="2:39" ht="15.65" customHeight="1" x14ac:dyDescent="0.25">
      <c r="B97" s="1095"/>
      <c r="C97" s="1096"/>
      <c r="D97" s="1096"/>
      <c r="E97" s="1096"/>
      <c r="F97" s="1096"/>
      <c r="G97" s="1096"/>
      <c r="H97" s="1098"/>
      <c r="I97" s="1098"/>
      <c r="J97" s="1096"/>
      <c r="K97" s="1096"/>
      <c r="L97" s="1096"/>
      <c r="M97" s="1096"/>
      <c r="N97" s="1125"/>
      <c r="O97" s="1126" t="s">
        <v>798</v>
      </c>
      <c r="P97" s="1155"/>
      <c r="Q97" s="1099"/>
      <c r="Y97" s="1243"/>
      <c r="Z97" s="1157" t="s">
        <v>116</v>
      </c>
      <c r="AA97" s="1244"/>
      <c r="AB97" s="1122" t="s">
        <v>128</v>
      </c>
      <c r="AC97" s="1122"/>
      <c r="AD97" s="1079"/>
      <c r="AE97" s="1079"/>
      <c r="AF97" s="1079"/>
      <c r="AG97" s="1080"/>
      <c r="AH97" s="1088"/>
      <c r="AI97" s="1079"/>
      <c r="AJ97" s="1079"/>
      <c r="AK97" s="1079"/>
      <c r="AL97" s="1079"/>
      <c r="AM97" s="1080"/>
    </row>
    <row r="98" spans="2:39" ht="15.65" customHeight="1" x14ac:dyDescent="0.25">
      <c r="B98" s="1095"/>
      <c r="C98" s="1113" t="s">
        <v>305</v>
      </c>
      <c r="D98" s="1096"/>
      <c r="E98" s="987"/>
      <c r="F98" s="988"/>
      <c r="G98" s="358"/>
      <c r="H98" s="397"/>
      <c r="I98" s="1098"/>
      <c r="J98" s="1096"/>
      <c r="K98" s="1096"/>
      <c r="L98" s="1096"/>
      <c r="M98" s="1096"/>
      <c r="N98" s="1130"/>
      <c r="O98" s="1131">
        <f>IF(AND(E98="",F98="",G98="",H98=""),0,IFERROR(Z98*AC98,'Hidden Lists and Summaries'!$C$158))</f>
        <v>0</v>
      </c>
      <c r="P98" s="1132" t="s">
        <v>90</v>
      </c>
      <c r="Q98" s="1099"/>
      <c r="Y98" s="1147" t="e">
        <f>VLOOKUP(F98,CO2Equivalence[],2,FALSE)</f>
        <v>#N/A</v>
      </c>
      <c r="Z98" s="1148" t="e">
        <f>AB98*Y98</f>
        <v>#N/A</v>
      </c>
      <c r="AA98" s="1245" t="e">
        <f>IF(F98='Key Values'!$B$221,VLOOKUP('Ammonia Production'!E98,IndustrialProcessEmissions[],3,FALSE),VLOOKUP('Ammonia Production'!E98,IndustrialProcessEmissions[],2,FALSE))</f>
        <v>#N/A</v>
      </c>
      <c r="AB98" s="1135" t="e">
        <f>VLOOKUP(H98,massConv[#All], 3, FALSE)*G98</f>
        <v>#N/A</v>
      </c>
      <c r="AC98" s="1246" t="e">
        <f t="shared" ref="AC98:AC104" si="1">AA98*iq_batchDurationYears</f>
        <v>#N/A</v>
      </c>
      <c r="AD98" s="1079"/>
      <c r="AE98" s="1079"/>
      <c r="AF98" s="1079"/>
      <c r="AG98" s="1080"/>
      <c r="AH98" s="1088"/>
      <c r="AI98" s="1079"/>
      <c r="AJ98" s="1079"/>
      <c r="AK98" s="1079"/>
      <c r="AL98" s="1079"/>
      <c r="AM98" s="1080"/>
    </row>
    <row r="99" spans="2:39" ht="15.65" customHeight="1" x14ac:dyDescent="0.25">
      <c r="B99" s="1095"/>
      <c r="C99" s="1113" t="s">
        <v>306</v>
      </c>
      <c r="D99" s="1096"/>
      <c r="E99" s="989"/>
      <c r="F99" s="990"/>
      <c r="G99" s="398"/>
      <c r="H99" s="399"/>
      <c r="I99" s="1098"/>
      <c r="J99" s="1096"/>
      <c r="K99" s="1096"/>
      <c r="L99" s="1096"/>
      <c r="M99" s="1096"/>
      <c r="N99" s="1130"/>
      <c r="O99" s="1131">
        <f>IF(AND(E99="",F99="",G99="",H99=""),0,IFERROR(Z99*AC99,'Hidden Lists and Summaries'!$C$158))</f>
        <v>0</v>
      </c>
      <c r="P99" s="1132" t="s">
        <v>90</v>
      </c>
      <c r="Q99" s="1099"/>
      <c r="Y99" s="1088" t="e">
        <f>VLOOKUP(F99,CO2Equivalence[],2,FALSE)</f>
        <v>#N/A</v>
      </c>
      <c r="Z99" s="1079" t="e">
        <f t="shared" ref="Z99:Z104" si="2">AB99*Y99</f>
        <v>#N/A</v>
      </c>
      <c r="AA99" s="1247" t="e">
        <f>IF(F99='Key Values'!$B$221,VLOOKUP('Ammonia Production'!E99,IndustrialProcessEmissions[],3,FALSE),VLOOKUP('Ammonia Production'!E99,IndustrialProcessEmissions[],2,FALSE))</f>
        <v>#N/A</v>
      </c>
      <c r="AB99" s="1138" t="e">
        <f>VLOOKUP(H99,massConv[#All], 3, FALSE)*G99</f>
        <v>#N/A</v>
      </c>
      <c r="AC99" s="1248" t="e">
        <f t="shared" si="1"/>
        <v>#N/A</v>
      </c>
      <c r="AD99" s="1079"/>
      <c r="AE99" s="1079"/>
      <c r="AF99" s="1079"/>
      <c r="AG99" s="1080"/>
      <c r="AH99" s="1088"/>
      <c r="AI99" s="1079"/>
      <c r="AJ99" s="1079"/>
      <c r="AK99" s="1079"/>
      <c r="AL99" s="1079"/>
      <c r="AM99" s="1080"/>
    </row>
    <row r="100" spans="2:39" ht="15.65" customHeight="1" x14ac:dyDescent="0.25">
      <c r="B100" s="1095"/>
      <c r="C100" s="1113" t="s">
        <v>307</v>
      </c>
      <c r="D100" s="1096"/>
      <c r="E100" s="989"/>
      <c r="F100" s="990"/>
      <c r="G100" s="398"/>
      <c r="H100" s="399"/>
      <c r="I100" s="1098"/>
      <c r="J100" s="1096"/>
      <c r="K100" s="1096"/>
      <c r="L100" s="1096"/>
      <c r="M100" s="1096"/>
      <c r="N100" s="1130"/>
      <c r="O100" s="1131">
        <f>IF(AND(E100="",F100="",G100="",H100=""),0,IFERROR(Z100*AC100,'Hidden Lists and Summaries'!$C$158))</f>
        <v>0</v>
      </c>
      <c r="P100" s="1132" t="s">
        <v>90</v>
      </c>
      <c r="Q100" s="1099"/>
      <c r="Y100" s="1088" t="e">
        <f>VLOOKUP(F100,CO2Equivalence[],2,FALSE)</f>
        <v>#N/A</v>
      </c>
      <c r="Z100" s="1079" t="e">
        <f t="shared" si="2"/>
        <v>#N/A</v>
      </c>
      <c r="AA100" s="1247" t="e">
        <f>IF(F100='Key Values'!$B$221,VLOOKUP('Ammonia Production'!E100,IndustrialProcessEmissions[],3,FALSE),VLOOKUP('Ammonia Production'!E100,IndustrialProcessEmissions[],2,FALSE))</f>
        <v>#N/A</v>
      </c>
      <c r="AB100" s="1138" t="e">
        <f>VLOOKUP(H100,massConv[#All], 3, FALSE)*G100</f>
        <v>#N/A</v>
      </c>
      <c r="AC100" s="1248" t="e">
        <f t="shared" si="1"/>
        <v>#N/A</v>
      </c>
      <c r="AD100" s="1079"/>
      <c r="AE100" s="1079"/>
      <c r="AF100" s="1079"/>
      <c r="AG100" s="1080"/>
      <c r="AH100" s="1088"/>
      <c r="AI100" s="1079"/>
      <c r="AJ100" s="1079"/>
      <c r="AK100" s="1079"/>
      <c r="AL100" s="1079"/>
      <c r="AM100" s="1080"/>
    </row>
    <row r="101" spans="2:39" x14ac:dyDescent="0.25">
      <c r="B101" s="1095"/>
      <c r="C101" s="1113" t="s">
        <v>308</v>
      </c>
      <c r="D101" s="1096"/>
      <c r="E101" s="991"/>
      <c r="F101" s="990"/>
      <c r="G101" s="398"/>
      <c r="H101" s="399"/>
      <c r="I101" s="1098"/>
      <c r="J101" s="1096"/>
      <c r="K101" s="1096"/>
      <c r="L101" s="1096"/>
      <c r="M101" s="1096"/>
      <c r="N101" s="1130"/>
      <c r="O101" s="1131">
        <f>IF(AND(E101="",F101="",G101="",H101=""),0,IFERROR(Z101*AC101,'Hidden Lists and Summaries'!$C$158))</f>
        <v>0</v>
      </c>
      <c r="P101" s="1132" t="s">
        <v>90</v>
      </c>
      <c r="Q101" s="1099"/>
      <c r="Y101" s="1088" t="e">
        <f>VLOOKUP(F101,CO2Equivalence[],2,FALSE)</f>
        <v>#N/A</v>
      </c>
      <c r="Z101" s="1079" t="e">
        <f t="shared" si="2"/>
        <v>#N/A</v>
      </c>
      <c r="AA101" s="1247" t="e">
        <f>IF(F101='Key Values'!$B$221,VLOOKUP('Ammonia Production'!E101,IndustrialProcessEmissions[],3,FALSE),VLOOKUP('Ammonia Production'!E101,IndustrialProcessEmissions[],2,FALSE))</f>
        <v>#N/A</v>
      </c>
      <c r="AB101" s="1138" t="e">
        <f>VLOOKUP(H101,massConv[#All], 3, FALSE)*G101</f>
        <v>#N/A</v>
      </c>
      <c r="AC101" s="1248" t="e">
        <f t="shared" si="1"/>
        <v>#N/A</v>
      </c>
      <c r="AD101" s="1079"/>
      <c r="AE101" s="1079"/>
      <c r="AF101" s="1079"/>
      <c r="AG101" s="1080"/>
      <c r="AH101" s="1088"/>
      <c r="AI101" s="1079"/>
      <c r="AJ101" s="1079"/>
      <c r="AK101" s="1079"/>
      <c r="AL101" s="1079"/>
      <c r="AM101" s="1080"/>
    </row>
    <row r="102" spans="2:39" ht="15.65" customHeight="1" x14ac:dyDescent="0.25">
      <c r="B102" s="1095"/>
      <c r="C102" s="1113" t="s">
        <v>309</v>
      </c>
      <c r="D102" s="1096"/>
      <c r="E102" s="989"/>
      <c r="F102" s="990"/>
      <c r="G102" s="398"/>
      <c r="H102" s="399"/>
      <c r="I102" s="1098"/>
      <c r="J102" s="1096"/>
      <c r="K102" s="1096"/>
      <c r="L102" s="1096"/>
      <c r="M102" s="1096"/>
      <c r="N102" s="1130"/>
      <c r="O102" s="1131">
        <f>IF(AND(E102="",F102="",G102="",H102=""),0,IFERROR(Z102*AC102,'Hidden Lists and Summaries'!$C$158))</f>
        <v>0</v>
      </c>
      <c r="P102" s="1132" t="s">
        <v>90</v>
      </c>
      <c r="Q102" s="1099"/>
      <c r="Y102" s="1088" t="e">
        <f>VLOOKUP(F102,CO2Equivalence[],2,FALSE)</f>
        <v>#N/A</v>
      </c>
      <c r="Z102" s="1079" t="e">
        <f t="shared" si="2"/>
        <v>#N/A</v>
      </c>
      <c r="AA102" s="1247" t="e">
        <f>IF(F102='Key Values'!$B$221,VLOOKUP('Ammonia Production'!E102,IndustrialProcessEmissions[],3,FALSE),VLOOKUP('Ammonia Production'!E102,IndustrialProcessEmissions[],2,FALSE))</f>
        <v>#N/A</v>
      </c>
      <c r="AB102" s="1138" t="e">
        <f>VLOOKUP(H102,massConv[#All], 3, FALSE)*G102</f>
        <v>#N/A</v>
      </c>
      <c r="AC102" s="1248" t="e">
        <f t="shared" si="1"/>
        <v>#N/A</v>
      </c>
      <c r="AD102" s="1079"/>
      <c r="AE102" s="1079"/>
      <c r="AF102" s="1079"/>
      <c r="AG102" s="1080"/>
      <c r="AH102" s="1088"/>
      <c r="AI102" s="1079"/>
      <c r="AJ102" s="1079"/>
      <c r="AK102" s="1079"/>
      <c r="AL102" s="1079"/>
      <c r="AM102" s="1080"/>
    </row>
    <row r="103" spans="2:39" ht="15.65" customHeight="1" x14ac:dyDescent="0.25">
      <c r="B103" s="1095"/>
      <c r="C103" s="1113" t="s">
        <v>310</v>
      </c>
      <c r="D103" s="1096"/>
      <c r="E103" s="989"/>
      <c r="F103" s="990"/>
      <c r="G103" s="398"/>
      <c r="H103" s="399"/>
      <c r="I103" s="1098"/>
      <c r="J103" s="1096"/>
      <c r="K103" s="1096"/>
      <c r="L103" s="1096"/>
      <c r="M103" s="1096"/>
      <c r="N103" s="1130"/>
      <c r="O103" s="1131">
        <f>IF(AND(E103="",F103="",G103="",H103=""),0,IFERROR(Z103*AC103,'Hidden Lists and Summaries'!$C$158))</f>
        <v>0</v>
      </c>
      <c r="P103" s="1132" t="s">
        <v>90</v>
      </c>
      <c r="Q103" s="1099"/>
      <c r="Y103" s="1088" t="e">
        <f>VLOOKUP(F103,CO2Equivalence[],2,FALSE)</f>
        <v>#N/A</v>
      </c>
      <c r="Z103" s="1079" t="e">
        <f t="shared" si="2"/>
        <v>#N/A</v>
      </c>
      <c r="AA103" s="1247" t="e">
        <f>IF(F103='Key Values'!$B$221,VLOOKUP('Ammonia Production'!E103,IndustrialProcessEmissions[],3,FALSE),VLOOKUP('Ammonia Production'!E103,IndustrialProcessEmissions[],2,FALSE))</f>
        <v>#N/A</v>
      </c>
      <c r="AB103" s="1138" t="e">
        <f>VLOOKUP(H103,massConv[#All], 3, FALSE)*G103</f>
        <v>#N/A</v>
      </c>
      <c r="AC103" s="1248" t="e">
        <f t="shared" si="1"/>
        <v>#N/A</v>
      </c>
      <c r="AD103" s="1079"/>
      <c r="AE103" s="1079"/>
      <c r="AF103" s="1079"/>
      <c r="AG103" s="1080"/>
      <c r="AH103" s="1088"/>
      <c r="AI103" s="1079"/>
      <c r="AJ103" s="1079"/>
      <c r="AK103" s="1079"/>
      <c r="AL103" s="1079"/>
      <c r="AM103" s="1080"/>
    </row>
    <row r="104" spans="2:39" ht="15.65" customHeight="1" x14ac:dyDescent="0.25">
      <c r="B104" s="1095"/>
      <c r="C104" s="1113" t="s">
        <v>311</v>
      </c>
      <c r="D104" s="1096"/>
      <c r="E104" s="992"/>
      <c r="F104" s="993"/>
      <c r="G104" s="359"/>
      <c r="H104" s="400"/>
      <c r="I104" s="1098"/>
      <c r="J104" s="1096"/>
      <c r="K104" s="1096"/>
      <c r="L104" s="1096"/>
      <c r="M104" s="1096"/>
      <c r="N104" s="1130"/>
      <c r="O104" s="1131">
        <f>IF(AND(E104="",F104="",G104="",H104=""),0,IFERROR(Z104*AC104,'Hidden Lists and Summaries'!$C$158))</f>
        <v>0</v>
      </c>
      <c r="P104" s="1132" t="s">
        <v>90</v>
      </c>
      <c r="Q104" s="1099"/>
      <c r="Y104" s="1197" t="e">
        <f>VLOOKUP(F104,CO2Equivalence[],2,FALSE)</f>
        <v>#N/A</v>
      </c>
      <c r="Z104" s="1142" t="e">
        <f t="shared" si="2"/>
        <v>#N/A</v>
      </c>
      <c r="AA104" s="1249" t="e">
        <f>IF(F104='Key Values'!$B$221,VLOOKUP('Ammonia Production'!E104,IndustrialProcessEmissions[],3,FALSE),VLOOKUP('Ammonia Production'!E104,IndustrialProcessEmissions[],2,FALSE))</f>
        <v>#N/A</v>
      </c>
      <c r="AB104" s="1141" t="e">
        <f>VLOOKUP(H104,massConv[#All], 3, FALSE)*G104</f>
        <v>#N/A</v>
      </c>
      <c r="AC104" s="1250" t="e">
        <f t="shared" si="1"/>
        <v>#N/A</v>
      </c>
      <c r="AD104" s="1079"/>
      <c r="AE104" s="1079"/>
      <c r="AF104" s="1079"/>
      <c r="AG104" s="1080"/>
      <c r="AH104" s="1088"/>
      <c r="AI104" s="1079"/>
      <c r="AJ104" s="1079"/>
      <c r="AK104" s="1079"/>
      <c r="AL104" s="1079"/>
      <c r="AM104" s="1080"/>
    </row>
    <row r="105" spans="2:39" x14ac:dyDescent="0.25">
      <c r="B105" s="1105"/>
      <c r="C105" s="1106"/>
      <c r="D105" s="1106"/>
      <c r="E105" s="1106"/>
      <c r="F105" s="1106"/>
      <c r="G105" s="1106"/>
      <c r="H105" s="1115"/>
      <c r="I105" s="1115"/>
      <c r="J105" s="1106"/>
      <c r="K105" s="1106"/>
      <c r="L105" s="1106"/>
      <c r="M105" s="1106"/>
      <c r="N105" s="1144" t="s">
        <v>120</v>
      </c>
      <c r="O105" s="1145">
        <f>SUM(O98:O104)</f>
        <v>0</v>
      </c>
      <c r="P105" s="1146" t="s">
        <v>90</v>
      </c>
      <c r="Q105" s="1107"/>
      <c r="Y105" s="1088"/>
      <c r="Z105" s="1079"/>
      <c r="AA105" s="1079"/>
      <c r="AB105" s="1079"/>
      <c r="AC105" s="1079"/>
      <c r="AD105" s="1079"/>
      <c r="AE105" s="1079"/>
      <c r="AF105" s="1079"/>
      <c r="AG105" s="1080"/>
      <c r="AH105" s="1088"/>
      <c r="AI105" s="1079">
        <f>O105</f>
        <v>0</v>
      </c>
      <c r="AJ105" s="1079"/>
      <c r="AK105" s="1079" t="str">
        <f>'Hidden Lists and Summaries'!$B$9</f>
        <v>Industrial Process</v>
      </c>
      <c r="AL105" s="1079"/>
      <c r="AM105" s="1080"/>
    </row>
    <row r="106" spans="2:39" s="1164" customFormat="1" ht="15.65" customHeight="1" x14ac:dyDescent="0.25">
      <c r="B106" s="1108"/>
      <c r="C106" s="1108"/>
      <c r="D106" s="1108"/>
      <c r="E106" s="1267"/>
      <c r="F106" s="1267"/>
      <c r="G106" s="1108"/>
      <c r="H106" s="1268"/>
      <c r="I106" s="1102"/>
      <c r="J106" s="1108"/>
      <c r="K106" s="1267"/>
      <c r="L106" s="1108"/>
      <c r="M106" s="1108"/>
      <c r="N106" s="1163"/>
      <c r="O106" s="1108"/>
      <c r="P106" s="1108"/>
      <c r="Q106" s="1108"/>
      <c r="Y106" s="1165"/>
      <c r="Z106" s="1102"/>
      <c r="AA106" s="1102"/>
      <c r="AB106" s="1102"/>
      <c r="AC106" s="1102"/>
      <c r="AD106" s="1102"/>
      <c r="AE106" s="1102"/>
      <c r="AF106" s="1102"/>
      <c r="AG106" s="1166"/>
      <c r="AH106" s="1165"/>
      <c r="AI106" s="1102"/>
      <c r="AJ106" s="1102"/>
      <c r="AK106" s="1102"/>
      <c r="AL106" s="1102"/>
      <c r="AM106" s="1166"/>
    </row>
    <row r="107" spans="2:39" s="1164" customFormat="1" ht="15.65" customHeight="1" x14ac:dyDescent="0.25">
      <c r="B107" s="1207"/>
      <c r="C107" s="1208"/>
      <c r="D107" s="1208"/>
      <c r="E107" s="1208"/>
      <c r="F107" s="1208"/>
      <c r="G107" s="1208"/>
      <c r="H107" s="1269"/>
      <c r="I107" s="1269"/>
      <c r="J107" s="1208"/>
      <c r="K107" s="1208"/>
      <c r="L107" s="1208"/>
      <c r="M107" s="1208"/>
      <c r="N107" s="1270"/>
      <c r="O107" s="1208"/>
      <c r="P107" s="1208"/>
      <c r="Q107" s="1209"/>
      <c r="Y107" s="1165"/>
      <c r="Z107" s="1102"/>
      <c r="AA107" s="1102"/>
      <c r="AB107" s="1102"/>
      <c r="AC107" s="1102"/>
      <c r="AD107" s="1102"/>
      <c r="AE107" s="1102"/>
      <c r="AF107" s="1102"/>
      <c r="AG107" s="1166"/>
      <c r="AH107" s="1165"/>
      <c r="AI107" s="1102"/>
      <c r="AJ107" s="1102"/>
      <c r="AK107" s="1102"/>
      <c r="AL107" s="1102"/>
      <c r="AM107" s="1166"/>
    </row>
    <row r="108" spans="2:39" s="1164" customFormat="1" ht="15.65" customHeight="1" x14ac:dyDescent="0.25">
      <c r="B108" s="1210"/>
      <c r="C108" s="1211" t="s">
        <v>312</v>
      </c>
      <c r="D108" s="1212"/>
      <c r="E108" s="1212"/>
      <c r="F108" s="1212"/>
      <c r="G108" s="1212"/>
      <c r="H108" s="1252"/>
      <c r="I108" s="1252"/>
      <c r="J108" s="1212"/>
      <c r="K108" s="1212"/>
      <c r="L108" s="1212"/>
      <c r="M108" s="1212"/>
      <c r="N108" s="1271"/>
      <c r="O108" s="1212"/>
      <c r="P108" s="1212"/>
      <c r="Q108" s="1213"/>
      <c r="Y108" s="1121" t="s">
        <v>94</v>
      </c>
      <c r="Z108" s="1102"/>
      <c r="AA108" s="1102"/>
      <c r="AB108" s="1102"/>
      <c r="AC108" s="1102"/>
      <c r="AD108" s="1102"/>
      <c r="AE108" s="1102"/>
      <c r="AF108" s="1102"/>
      <c r="AG108" s="1166"/>
      <c r="AH108" s="1165"/>
      <c r="AI108" s="1102"/>
      <c r="AJ108" s="1102"/>
      <c r="AK108" s="1102"/>
      <c r="AL108" s="1102"/>
      <c r="AM108" s="1166"/>
    </row>
    <row r="109" spans="2:39" s="1164" customFormat="1" ht="15.65" customHeight="1" x14ac:dyDescent="0.25">
      <c r="B109" s="1214"/>
      <c r="C109" s="1215"/>
      <c r="D109" s="1215"/>
      <c r="E109" s="1111" t="s">
        <v>313</v>
      </c>
      <c r="F109" s="1091" t="s">
        <v>314</v>
      </c>
      <c r="G109" s="1091" t="s">
        <v>315</v>
      </c>
      <c r="H109" s="1091" t="s">
        <v>316</v>
      </c>
      <c r="I109" s="1092"/>
      <c r="J109" s="1215"/>
      <c r="K109" s="1215"/>
      <c r="L109" s="1215"/>
      <c r="M109" s="1215"/>
      <c r="N109" s="1272"/>
      <c r="O109" s="1091" t="s">
        <v>82</v>
      </c>
      <c r="P109" s="1215"/>
      <c r="Q109" s="1216"/>
      <c r="Y109" s="1121" t="s">
        <v>128</v>
      </c>
      <c r="Z109" s="1102"/>
      <c r="AA109" s="1102"/>
      <c r="AB109" s="1102"/>
      <c r="AC109" s="1102"/>
      <c r="AD109" s="1102"/>
      <c r="AE109" s="1102"/>
      <c r="AF109" s="1102"/>
      <c r="AG109" s="1166"/>
      <c r="AH109" s="1165"/>
      <c r="AI109" s="1102"/>
      <c r="AJ109" s="1102"/>
      <c r="AK109" s="1102"/>
      <c r="AL109" s="1102"/>
      <c r="AM109" s="1166"/>
    </row>
    <row r="110" spans="2:39" s="1164" customFormat="1" ht="15.65" customHeight="1" x14ac:dyDescent="0.25">
      <c r="B110" s="1192"/>
      <c r="C110" s="1193"/>
      <c r="D110" s="1193"/>
      <c r="E110" s="1193"/>
      <c r="F110" s="1193"/>
      <c r="G110" s="1193"/>
      <c r="H110" s="1193"/>
      <c r="I110" s="1194"/>
      <c r="J110" s="1193"/>
      <c r="K110" s="1193"/>
      <c r="L110" s="1193"/>
      <c r="M110" s="1193"/>
      <c r="N110" s="1273"/>
      <c r="O110" s="1193"/>
      <c r="P110" s="1097"/>
      <c r="Q110" s="1195"/>
      <c r="Y110" s="1274"/>
      <c r="Z110" s="1102"/>
      <c r="AA110" s="1102"/>
      <c r="AB110" s="1102"/>
      <c r="AC110" s="1102"/>
      <c r="AD110" s="1102"/>
      <c r="AE110" s="1102"/>
      <c r="AF110" s="1102"/>
      <c r="AG110" s="1166"/>
      <c r="AH110" s="1165"/>
      <c r="AI110" s="1102"/>
      <c r="AJ110" s="1102"/>
      <c r="AK110" s="1102"/>
      <c r="AL110" s="1102"/>
      <c r="AM110" s="1166"/>
    </row>
    <row r="111" spans="2:39" s="1164" customFormat="1" ht="15.65" customHeight="1" x14ac:dyDescent="0.25">
      <c r="B111" s="1095"/>
      <c r="C111" s="1101" t="s">
        <v>317</v>
      </c>
      <c r="D111" s="1099"/>
      <c r="E111" s="401"/>
      <c r="F111" s="362"/>
      <c r="G111" s="362"/>
      <c r="H111" s="402"/>
      <c r="I111" s="1275"/>
      <c r="J111" s="1101"/>
      <c r="K111" s="1101"/>
      <c r="L111" s="1101"/>
      <c r="M111" s="1099"/>
      <c r="N111" s="1276" t="str">
        <f>IF(F111="","",F111)</f>
        <v/>
      </c>
      <c r="O111" s="1183">
        <f>IF(AND(F111="",G111="",H111=""),0,IFERROR(Y111,'Hidden Lists and Summaries'!$C$158))</f>
        <v>0</v>
      </c>
      <c r="P111" s="1131" t="s">
        <v>90</v>
      </c>
      <c r="Q111" s="1277"/>
      <c r="Y111" s="1167" t="e">
        <f>G111*VLOOKUP(H111,massConv[#All],3,FALSE)</f>
        <v>#N/A</v>
      </c>
      <c r="Z111" s="1102"/>
      <c r="AA111" s="1102"/>
      <c r="AB111" s="1102"/>
      <c r="AC111" s="1102"/>
      <c r="AD111" s="1102"/>
      <c r="AE111" s="1102"/>
      <c r="AF111" s="1102"/>
      <c r="AG111" s="1166"/>
      <c r="AH111" s="1165"/>
      <c r="AI111" s="1102">
        <f>O111</f>
        <v>0</v>
      </c>
      <c r="AJ111" s="1102"/>
      <c r="AK111" s="1102">
        <f>F111</f>
        <v>0</v>
      </c>
      <c r="AL111" s="1102"/>
      <c r="AM111" s="1166" t="str">
        <f>IF(AI111='Hidden Lists and Summaries'!$B$5,"Other","")</f>
        <v/>
      </c>
    </row>
    <row r="112" spans="2:39" s="1164" customFormat="1" ht="15.65" customHeight="1" x14ac:dyDescent="0.25">
      <c r="B112" s="1095"/>
      <c r="C112" s="1101" t="s">
        <v>318</v>
      </c>
      <c r="D112" s="1099"/>
      <c r="E112" s="403"/>
      <c r="F112" s="366"/>
      <c r="G112" s="404"/>
      <c r="H112" s="405"/>
      <c r="I112" s="1275"/>
      <c r="J112" s="1101"/>
      <c r="K112" s="1101"/>
      <c r="L112" s="1101"/>
      <c r="M112" s="1101"/>
      <c r="N112" s="1278" t="str">
        <f t="shared" ref="N112:N114" si="3">IF(F112="","",F112)</f>
        <v/>
      </c>
      <c r="O112" s="1131">
        <f>IF(AND(F112="",G112="",H112=""),0,IFERROR(Y112,'Hidden Lists and Summaries'!$C$158))</f>
        <v>0</v>
      </c>
      <c r="P112" s="1131" t="s">
        <v>90</v>
      </c>
      <c r="Q112" s="1277"/>
      <c r="Y112" s="1167" t="e">
        <f>G112*VLOOKUP(H112,massConv[#All],3,FALSE)</f>
        <v>#N/A</v>
      </c>
      <c r="Z112" s="1102"/>
      <c r="AA112" s="1102"/>
      <c r="AB112" s="1102"/>
      <c r="AC112" s="1102"/>
      <c r="AD112" s="1102"/>
      <c r="AE112" s="1102"/>
      <c r="AF112" s="1102"/>
      <c r="AG112" s="1166"/>
      <c r="AH112" s="1165"/>
      <c r="AI112" s="1102">
        <f>O112</f>
        <v>0</v>
      </c>
      <c r="AJ112" s="1102"/>
      <c r="AK112" s="1102">
        <f>F112</f>
        <v>0</v>
      </c>
      <c r="AL112" s="1102"/>
      <c r="AM112" s="1166" t="str">
        <f>IF(AI112='Hidden Lists and Summaries'!$B$5,"Other","")</f>
        <v/>
      </c>
    </row>
    <row r="113" spans="2:39" s="1164" customFormat="1" ht="15.65" customHeight="1" x14ac:dyDescent="0.25">
      <c r="B113" s="1095"/>
      <c r="C113" s="1101" t="s">
        <v>319</v>
      </c>
      <c r="D113" s="1101"/>
      <c r="E113" s="368"/>
      <c r="F113" s="366"/>
      <c r="G113" s="366"/>
      <c r="H113" s="406"/>
      <c r="I113" s="1275"/>
      <c r="J113" s="1101"/>
      <c r="K113" s="1101"/>
      <c r="L113" s="1101"/>
      <c r="M113" s="1099"/>
      <c r="N113" s="1279" t="str">
        <f t="shared" si="3"/>
        <v/>
      </c>
      <c r="O113" s="1131">
        <f>IF(AND(F113="",G113="",H113=""),0,IFERROR(Y113,'Hidden Lists and Summaries'!$C$158))</f>
        <v>0</v>
      </c>
      <c r="P113" s="1131" t="s">
        <v>90</v>
      </c>
      <c r="Q113" s="1277"/>
      <c r="Y113" s="1167" t="e">
        <f>G113*VLOOKUP(H113,massConv[#All],3,FALSE)</f>
        <v>#N/A</v>
      </c>
      <c r="Z113" s="1102"/>
      <c r="AA113" s="1102"/>
      <c r="AB113" s="1102"/>
      <c r="AC113" s="1102"/>
      <c r="AD113" s="1102"/>
      <c r="AE113" s="1102"/>
      <c r="AF113" s="1102"/>
      <c r="AG113" s="1166"/>
      <c r="AH113" s="1165"/>
      <c r="AI113" s="1102">
        <f>O113</f>
        <v>0</v>
      </c>
      <c r="AJ113" s="1102"/>
      <c r="AK113" s="1102">
        <f>F113</f>
        <v>0</v>
      </c>
      <c r="AL113" s="1102"/>
      <c r="AM113" s="1166" t="str">
        <f>IF(AI113='Hidden Lists and Summaries'!$B$5,"Other","")</f>
        <v/>
      </c>
    </row>
    <row r="114" spans="2:39" s="1164" customFormat="1" ht="15.65" customHeight="1" x14ac:dyDescent="0.25">
      <c r="B114" s="1095"/>
      <c r="C114" s="1101" t="s">
        <v>320</v>
      </c>
      <c r="D114" s="1101"/>
      <c r="E114" s="407"/>
      <c r="F114" s="408"/>
      <c r="G114" s="371"/>
      <c r="H114" s="409"/>
      <c r="I114" s="1275"/>
      <c r="J114" s="1101"/>
      <c r="K114" s="1101"/>
      <c r="L114" s="1101"/>
      <c r="M114" s="1101"/>
      <c r="N114" s="1278" t="str">
        <f t="shared" si="3"/>
        <v/>
      </c>
      <c r="O114" s="1358">
        <f>IF(AND(F114="",G114="",H114=""),0,IFERROR(Y114,'Hidden Lists and Summaries'!$C$158))</f>
        <v>0</v>
      </c>
      <c r="P114" s="1280" t="s">
        <v>90</v>
      </c>
      <c r="Q114" s="1277"/>
      <c r="Y114" s="1281" t="e">
        <f>G114*VLOOKUP(H114,massConv[#All],3,FALSE)</f>
        <v>#N/A</v>
      </c>
      <c r="Z114" s="1102"/>
      <c r="AA114" s="1102"/>
      <c r="AB114" s="1102"/>
      <c r="AC114" s="1102"/>
      <c r="AD114" s="1102"/>
      <c r="AE114" s="1102"/>
      <c r="AF114" s="1102"/>
      <c r="AG114" s="1166"/>
      <c r="AH114" s="1165"/>
      <c r="AI114" s="1102">
        <f>O114</f>
        <v>0</v>
      </c>
      <c r="AJ114" s="1102"/>
      <c r="AK114" s="1102">
        <f>F114</f>
        <v>0</v>
      </c>
      <c r="AL114" s="1102"/>
      <c r="AM114" s="1166" t="str">
        <f>IF(AI114='Hidden Lists and Summaries'!$B$5,"Other","")</f>
        <v/>
      </c>
    </row>
    <row r="115" spans="2:39" s="1164" customFormat="1" x14ac:dyDescent="0.25">
      <c r="B115" s="1105"/>
      <c r="C115" s="1106"/>
      <c r="D115" s="1106"/>
      <c r="E115" s="1097"/>
      <c r="F115" s="1097"/>
      <c r="G115" s="1106"/>
      <c r="H115" s="1284"/>
      <c r="I115" s="1284"/>
      <c r="J115" s="1106"/>
      <c r="K115" s="1106"/>
      <c r="L115" s="1106"/>
      <c r="M115" s="1106"/>
      <c r="N115" s="1285" t="s">
        <v>120</v>
      </c>
      <c r="O115" s="1286">
        <f>SUM(O111:O114)</f>
        <v>0</v>
      </c>
      <c r="P115" s="1287" t="s">
        <v>90</v>
      </c>
      <c r="Q115" s="1107"/>
      <c r="Y115" s="1165"/>
      <c r="Z115" s="1102"/>
      <c r="AA115" s="1102"/>
      <c r="AB115" s="1102"/>
      <c r="AC115" s="1102"/>
      <c r="AD115" s="1102"/>
      <c r="AE115" s="1102"/>
      <c r="AF115" s="1102"/>
      <c r="AG115" s="1166"/>
      <c r="AH115" s="1282"/>
      <c r="AI115" s="1236"/>
      <c r="AJ115" s="1236"/>
      <c r="AK115" s="1236"/>
      <c r="AL115" s="1236"/>
      <c r="AM115" s="1283"/>
    </row>
    <row r="116" spans="2:39" ht="15.65" customHeight="1" x14ac:dyDescent="0.25">
      <c r="B116" s="1118"/>
      <c r="C116" s="1118"/>
      <c r="D116" s="1118"/>
      <c r="E116" s="1118"/>
      <c r="F116" s="1118"/>
      <c r="G116" s="1118"/>
      <c r="H116" s="1118"/>
      <c r="I116" s="1118"/>
      <c r="J116" s="1118"/>
      <c r="K116" s="1118"/>
      <c r="L116" s="1118"/>
      <c r="M116" s="1118"/>
      <c r="N116" s="1118"/>
      <c r="O116" s="1465"/>
      <c r="P116" s="1465"/>
      <c r="Q116" s="1118"/>
      <c r="Y116" s="1088"/>
      <c r="Z116" s="1079"/>
      <c r="AA116" s="1079"/>
      <c r="AB116" s="1079"/>
      <c r="AC116" s="1079"/>
      <c r="AD116" s="1079"/>
      <c r="AE116" s="1079"/>
      <c r="AF116" s="1079"/>
      <c r="AG116" s="1080"/>
    </row>
    <row r="117" spans="2:39" ht="15.65" customHeight="1" x14ac:dyDescent="0.25">
      <c r="B117" s="1081"/>
      <c r="C117" s="1082"/>
      <c r="D117" s="1082"/>
      <c r="E117" s="1082"/>
      <c r="F117" s="1082"/>
      <c r="G117" s="1082"/>
      <c r="H117" s="1082"/>
      <c r="I117" s="1082"/>
      <c r="J117" s="1082"/>
      <c r="K117" s="1082"/>
      <c r="L117" s="1082"/>
      <c r="M117" s="1082"/>
      <c r="N117" s="1082"/>
      <c r="O117" s="1082"/>
      <c r="P117" s="1082"/>
      <c r="Q117" s="1083"/>
      <c r="Y117" s="1088"/>
      <c r="Z117" s="1079"/>
      <c r="AA117" s="1079"/>
      <c r="AB117" s="1079"/>
      <c r="AC117" s="1079"/>
      <c r="AD117" s="1079"/>
      <c r="AE117" s="1079"/>
      <c r="AF117" s="1079"/>
      <c r="AG117" s="1080"/>
    </row>
    <row r="118" spans="2:39" ht="15.65" customHeight="1" x14ac:dyDescent="0.25">
      <c r="B118" s="1084"/>
      <c r="C118" s="1109" t="s">
        <v>321</v>
      </c>
      <c r="D118" s="1086"/>
      <c r="E118" s="1086"/>
      <c r="F118" s="1086"/>
      <c r="G118" s="1086"/>
      <c r="H118" s="1086"/>
      <c r="I118" s="1086"/>
      <c r="J118" s="1086"/>
      <c r="K118" s="1086"/>
      <c r="L118" s="1086"/>
      <c r="M118" s="1086"/>
      <c r="N118" s="1086"/>
      <c r="O118" s="1086"/>
      <c r="P118" s="1086"/>
      <c r="Q118" s="1087"/>
      <c r="Y118" s="1088"/>
      <c r="Z118" s="1079"/>
      <c r="AA118" s="1079"/>
      <c r="AB118" s="1079"/>
      <c r="AC118" s="1079"/>
      <c r="AD118" s="1079"/>
      <c r="AE118" s="1079"/>
      <c r="AF118" s="1079"/>
      <c r="AG118" s="1080"/>
    </row>
    <row r="119" spans="2:39" ht="15.65" customHeight="1" x14ac:dyDescent="0.25">
      <c r="B119" s="1089"/>
      <c r="C119" s="1090"/>
      <c r="D119" s="1090"/>
      <c r="E119" s="1091" t="s">
        <v>322</v>
      </c>
      <c r="F119" s="1091" t="s">
        <v>184</v>
      </c>
      <c r="G119" s="1093"/>
      <c r="H119" s="1111"/>
      <c r="I119" s="1111"/>
      <c r="J119" s="1093"/>
      <c r="K119" s="1093"/>
      <c r="L119" s="1093"/>
      <c r="M119" s="1093"/>
      <c r="N119" s="1093"/>
      <c r="O119" s="1091" t="s">
        <v>82</v>
      </c>
      <c r="P119" s="1093"/>
      <c r="Q119" s="1112"/>
      <c r="Y119" s="1153" t="s">
        <v>109</v>
      </c>
      <c r="Z119" s="1122" t="s">
        <v>324</v>
      </c>
      <c r="AA119" s="1079"/>
      <c r="AB119" s="1079"/>
      <c r="AC119" s="1079"/>
      <c r="AD119" s="1079"/>
      <c r="AE119" s="1079"/>
      <c r="AF119" s="1079"/>
      <c r="AG119" s="1080"/>
    </row>
    <row r="120" spans="2:39" ht="15.65" customHeight="1" x14ac:dyDescent="0.25">
      <c r="B120" s="1095"/>
      <c r="C120" s="1096"/>
      <c r="D120" s="1096"/>
      <c r="E120" s="1096"/>
      <c r="F120" s="1096"/>
      <c r="G120" s="1096"/>
      <c r="H120" s="1098"/>
      <c r="I120" s="1098"/>
      <c r="J120" s="1096"/>
      <c r="K120" s="1096"/>
      <c r="L120" s="1096"/>
      <c r="M120" s="1096"/>
      <c r="N120" s="1288"/>
      <c r="O120" s="1126" t="s">
        <v>325</v>
      </c>
      <c r="P120" s="1155"/>
      <c r="Q120" s="1099"/>
      <c r="Y120" s="1468" t="s">
        <v>84</v>
      </c>
      <c r="Z120" s="1467" t="s">
        <v>326</v>
      </c>
      <c r="AA120" s="1079"/>
      <c r="AB120" s="1079"/>
      <c r="AC120" s="1079"/>
      <c r="AD120" s="1079"/>
      <c r="AE120" s="1079"/>
      <c r="AF120" s="1079"/>
      <c r="AG120" s="1080"/>
    </row>
    <row r="121" spans="2:39" ht="15.65" customHeight="1" x14ac:dyDescent="0.25">
      <c r="B121" s="1095"/>
      <c r="C121" s="1113" t="s">
        <v>327</v>
      </c>
      <c r="D121" s="1096"/>
      <c r="E121" s="410"/>
      <c r="F121" s="1289" t="s">
        <v>415</v>
      </c>
      <c r="G121" s="1096"/>
      <c r="H121" s="1098"/>
      <c r="I121" s="1098"/>
      <c r="J121" s="1096"/>
      <c r="K121" s="1096"/>
      <c r="L121" s="1096"/>
      <c r="M121" s="1096"/>
      <c r="N121" s="1130"/>
      <c r="O121" s="1131">
        <f>IF(E121="",0,IFERROR(Y121*Z121,'Hidden Lists and Summaries'!$C$158))</f>
        <v>0</v>
      </c>
      <c r="P121" s="1132" t="s">
        <v>90</v>
      </c>
      <c r="Q121" s="1099"/>
      <c r="Y121" s="1367">
        <f>VLOOKUP(F121,EnergyConversionTable[#All], 3, FALSE)*E121</f>
        <v>0</v>
      </c>
      <c r="Z121" s="1143">
        <f>'Key Values'!$C$149</f>
        <v>0.95499999999999996</v>
      </c>
      <c r="AA121" s="1079"/>
      <c r="AB121" s="1079"/>
      <c r="AC121" s="1079"/>
      <c r="AD121" s="1079"/>
      <c r="AE121" s="1079"/>
      <c r="AF121" s="1079"/>
      <c r="AG121" s="1080"/>
    </row>
    <row r="122" spans="2:39" ht="15.65" customHeight="1" x14ac:dyDescent="0.25">
      <c r="B122" s="1105"/>
      <c r="C122" s="1106"/>
      <c r="D122" s="1106"/>
      <c r="E122" s="1106"/>
      <c r="F122" s="1106"/>
      <c r="G122" s="1106"/>
      <c r="H122" s="1115"/>
      <c r="I122" s="1115"/>
      <c r="J122" s="1106"/>
      <c r="K122" s="1106"/>
      <c r="L122" s="1106"/>
      <c r="M122" s="1106"/>
      <c r="N122" s="1144" t="s">
        <v>120</v>
      </c>
      <c r="O122" s="1145">
        <f>SUM(O121:O121)</f>
        <v>0</v>
      </c>
      <c r="P122" s="1146" t="s">
        <v>90</v>
      </c>
      <c r="Q122" s="1107"/>
      <c r="Y122" s="1088"/>
      <c r="Z122" s="1079"/>
      <c r="AA122" s="1079"/>
      <c r="AB122" s="1079"/>
      <c r="AC122" s="1079"/>
      <c r="AD122" s="1079"/>
      <c r="AE122" s="1079"/>
      <c r="AF122" s="1079"/>
      <c r="AG122" s="1080"/>
    </row>
    <row r="123" spans="2:39" ht="15.65" customHeight="1" x14ac:dyDescent="0.25">
      <c r="B123" s="1118"/>
      <c r="C123" s="1118"/>
      <c r="D123" s="1118"/>
      <c r="E123" s="1118"/>
      <c r="F123" s="1118"/>
      <c r="G123" s="1118"/>
      <c r="H123" s="1118"/>
      <c r="I123" s="1118"/>
      <c r="J123" s="1118"/>
      <c r="K123" s="1118"/>
      <c r="L123" s="1118"/>
      <c r="M123" s="1118"/>
      <c r="N123" s="1118"/>
      <c r="O123" s="1118"/>
      <c r="P123" s="1118"/>
      <c r="Q123" s="1118"/>
      <c r="Y123" s="1088"/>
      <c r="Z123" s="1079"/>
      <c r="AA123" s="1079"/>
      <c r="AB123" s="1079"/>
      <c r="AC123" s="1079"/>
      <c r="AD123" s="1079"/>
      <c r="AE123" s="1079"/>
      <c r="AF123" s="1079"/>
      <c r="AG123" s="1080"/>
    </row>
    <row r="124" spans="2:39" ht="15.65" customHeight="1" x14ac:dyDescent="0.25">
      <c r="B124" s="1081"/>
      <c r="C124" s="1082"/>
      <c r="D124" s="1082"/>
      <c r="E124" s="1082"/>
      <c r="F124" s="1082"/>
      <c r="G124" s="1082"/>
      <c r="H124" s="1082"/>
      <c r="I124" s="1082"/>
      <c r="J124" s="1082"/>
      <c r="K124" s="1082"/>
      <c r="L124" s="1082"/>
      <c r="M124" s="1082"/>
      <c r="N124" s="1082"/>
      <c r="O124" s="1082"/>
      <c r="P124" s="1082"/>
      <c r="Q124" s="1083"/>
      <c r="Y124" s="1088"/>
      <c r="Z124" s="1079"/>
      <c r="AA124" s="1079"/>
      <c r="AB124" s="1079"/>
      <c r="AC124" s="1079"/>
      <c r="AD124" s="1079"/>
      <c r="AE124" s="1079"/>
      <c r="AF124" s="1079"/>
      <c r="AG124" s="1080"/>
    </row>
    <row r="125" spans="2:39" ht="15.65" customHeight="1" x14ac:dyDescent="0.25">
      <c r="B125" s="1084"/>
      <c r="C125" s="1109" t="s">
        <v>328</v>
      </c>
      <c r="D125" s="1086"/>
      <c r="E125" s="1086"/>
      <c r="F125" s="1086"/>
      <c r="G125" s="1086"/>
      <c r="H125" s="1086"/>
      <c r="I125" s="1086"/>
      <c r="J125" s="1086"/>
      <c r="K125" s="1086"/>
      <c r="L125" s="1086"/>
      <c r="M125" s="1086"/>
      <c r="N125" s="1086"/>
      <c r="O125" s="1086"/>
      <c r="P125" s="1086"/>
      <c r="Q125" s="1087"/>
      <c r="Y125" s="1088"/>
      <c r="Z125" s="1079"/>
      <c r="AA125" s="1079"/>
      <c r="AB125" s="1079"/>
      <c r="AC125" s="1079"/>
      <c r="AD125" s="1079"/>
      <c r="AE125" s="1079"/>
      <c r="AF125" s="1079"/>
      <c r="AG125" s="1080"/>
    </row>
    <row r="126" spans="2:39" ht="15.65" customHeight="1" x14ac:dyDescent="0.25">
      <c r="B126" s="1089"/>
      <c r="C126" s="1090"/>
      <c r="D126" s="1090"/>
      <c r="E126" s="1291" t="s">
        <v>133</v>
      </c>
      <c r="F126" s="1091" t="s">
        <v>329</v>
      </c>
      <c r="G126" s="1091" t="s">
        <v>184</v>
      </c>
      <c r="H126" s="1091" t="s">
        <v>263</v>
      </c>
      <c r="I126" s="1111"/>
      <c r="J126" s="1093"/>
      <c r="K126" s="1093"/>
      <c r="L126" s="1093"/>
      <c r="M126" s="1093"/>
      <c r="N126" s="1093"/>
      <c r="O126" s="1091" t="s">
        <v>82</v>
      </c>
      <c r="P126" s="1093"/>
      <c r="Q126" s="1112"/>
      <c r="Y126" s="1121" t="s">
        <v>77</v>
      </c>
      <c r="Z126" s="1154" t="s">
        <v>330</v>
      </c>
      <c r="AA126" s="1122" t="s">
        <v>331</v>
      </c>
      <c r="AB126" s="1122" t="s">
        <v>123</v>
      </c>
      <c r="AC126" s="1122" t="s">
        <v>264</v>
      </c>
      <c r="AD126" s="1122" t="s">
        <v>265</v>
      </c>
      <c r="AE126" s="1079"/>
      <c r="AF126" s="1079"/>
      <c r="AG126" s="1080"/>
    </row>
    <row r="127" spans="2:39" ht="15.65" customHeight="1" x14ac:dyDescent="0.25">
      <c r="B127" s="1095"/>
      <c r="C127" s="1096"/>
      <c r="D127" s="1096"/>
      <c r="E127" s="1173"/>
      <c r="F127" s="1096"/>
      <c r="G127" s="1096"/>
      <c r="H127" s="1096"/>
      <c r="I127" s="1098"/>
      <c r="J127" s="1096"/>
      <c r="K127" s="1096"/>
      <c r="L127" s="1096"/>
      <c r="M127" s="1096"/>
      <c r="N127" s="1288"/>
      <c r="O127" s="1126" t="s">
        <v>325</v>
      </c>
      <c r="P127" s="1155"/>
      <c r="Q127" s="1099"/>
      <c r="Y127" s="1121" t="s">
        <v>273</v>
      </c>
      <c r="Z127" s="1157" t="s">
        <v>128</v>
      </c>
      <c r="AA127" s="1232" t="s">
        <v>128</v>
      </c>
      <c r="AB127" s="1121" t="s">
        <v>272</v>
      </c>
      <c r="AC127" s="1122" t="s">
        <v>270</v>
      </c>
      <c r="AD127" s="1122" t="s">
        <v>270</v>
      </c>
      <c r="AE127" s="1079"/>
      <c r="AF127" s="1079"/>
      <c r="AG127" s="1080"/>
    </row>
    <row r="128" spans="2:39" ht="15.65" customHeight="1" x14ac:dyDescent="0.25">
      <c r="B128" s="1095"/>
      <c r="C128" s="1113" t="s">
        <v>332</v>
      </c>
      <c r="D128" s="1202"/>
      <c r="E128" s="411"/>
      <c r="F128" s="357"/>
      <c r="G128" s="412"/>
      <c r="H128" s="994"/>
      <c r="I128" s="1098"/>
      <c r="J128" s="1096"/>
      <c r="K128" s="1096"/>
      <c r="L128" s="1096"/>
      <c r="M128" s="1096"/>
      <c r="N128" s="1130"/>
      <c r="O128" s="1131">
        <f>IF(AND(E128="",F128="",G128="",H128=""),0,IFERROR(Y128*Z128,'Hidden Lists and Summaries'!$C$158))</f>
        <v>0</v>
      </c>
      <c r="P128" s="1132" t="s">
        <v>90</v>
      </c>
      <c r="Q128" s="1099"/>
      <c r="Y128" s="1293" t="e">
        <f>(AC128+AD128)*AB128</f>
        <v>#N/A</v>
      </c>
      <c r="Z128" s="1294" t="e">
        <f>VLOOKUP(G128,massConv[#All], 3, FALSE)*F128</f>
        <v>#N/A</v>
      </c>
      <c r="AA128" s="1294" t="e">
        <f>VLOOKUP(G128,massConv[#All], 3, FALSE)*E128</f>
        <v>#N/A</v>
      </c>
      <c r="AB128" s="1148" t="e">
        <f>VLOOKUP(H128,SteamProperties[#All],6,FALSE)</f>
        <v>#N/A</v>
      </c>
      <c r="AC128" s="1148">
        <f>'Key Values'!$C$209</f>
        <v>51.53</v>
      </c>
      <c r="AD128" s="1149">
        <f>IFERROR(VLOOKUP(iq_location,GaseousFuelEmbodiedEmissions[#All],IF(iq_metro,2,3),FALSE),0)</f>
        <v>0</v>
      </c>
      <c r="AE128" s="1079"/>
      <c r="AF128" s="1079"/>
      <c r="AG128" s="1080"/>
    </row>
    <row r="129" spans="2:33" ht="15.65" customHeight="1" x14ac:dyDescent="0.25">
      <c r="B129" s="1095"/>
      <c r="C129" s="1113" t="s">
        <v>333</v>
      </c>
      <c r="D129" s="1202"/>
      <c r="E129" s="413"/>
      <c r="F129" s="398"/>
      <c r="G129" s="414"/>
      <c r="H129" s="995"/>
      <c r="I129" s="1098"/>
      <c r="J129" s="1096"/>
      <c r="K129" s="1096"/>
      <c r="L129" s="1096"/>
      <c r="M129" s="1096"/>
      <c r="N129" s="1130"/>
      <c r="O129" s="1131">
        <f>IF(AND(E129="",F129="",G129="",H129=""),0,IFERROR(Y129*Z129,'Hidden Lists and Summaries'!$C$158))</f>
        <v>0</v>
      </c>
      <c r="P129" s="1132" t="s">
        <v>90</v>
      </c>
      <c r="Q129" s="1099"/>
      <c r="Y129" s="1295" t="e">
        <f t="shared" ref="Y129:Y130" si="4">(AC129+AD129)*AB129</f>
        <v>#N/A</v>
      </c>
      <c r="Z129" s="1296" t="e">
        <f>VLOOKUP(G129,massConv[#All], 3, FALSE)*F129</f>
        <v>#N/A</v>
      </c>
      <c r="AA129" s="1296" t="e">
        <f>VLOOKUP(G129,massConv[#All], 3, FALSE)*E129</f>
        <v>#N/A</v>
      </c>
      <c r="AB129" s="1079" t="e">
        <f>VLOOKUP(H129,SteamProperties[#All],6,FALSE)</f>
        <v>#N/A</v>
      </c>
      <c r="AC129" s="1079">
        <f>'Key Values'!$C$209</f>
        <v>51.53</v>
      </c>
      <c r="AD129" s="1080">
        <f>IFERROR(VLOOKUP(iq_location,GaseousFuelEmbodiedEmissions[#All],IF(iq_metro,2,3),FALSE),0)</f>
        <v>0</v>
      </c>
      <c r="AE129" s="1079"/>
      <c r="AF129" s="1079"/>
      <c r="AG129" s="1080"/>
    </row>
    <row r="130" spans="2:33" ht="15.65" customHeight="1" x14ac:dyDescent="0.25">
      <c r="B130" s="1095"/>
      <c r="C130" s="1113" t="s">
        <v>334</v>
      </c>
      <c r="D130" s="1202"/>
      <c r="E130" s="415"/>
      <c r="F130" s="360"/>
      <c r="G130" s="416"/>
      <c r="H130" s="996"/>
      <c r="I130" s="1098"/>
      <c r="J130" s="1096"/>
      <c r="K130" s="1096"/>
      <c r="L130" s="1096"/>
      <c r="M130" s="1096"/>
      <c r="N130" s="1130"/>
      <c r="O130" s="1139">
        <f>IF(AND(E130="",F130="",G130="",H130=""),0,IFERROR(Y130*Z130,'Hidden Lists and Summaries'!$C$158))</f>
        <v>0</v>
      </c>
      <c r="P130" s="1132" t="s">
        <v>90</v>
      </c>
      <c r="Q130" s="1099"/>
      <c r="Y130" s="1297" t="e">
        <f t="shared" si="4"/>
        <v>#N/A</v>
      </c>
      <c r="Z130" s="1298" t="e">
        <f>VLOOKUP(G130,massConv[#All], 3, FALSE)*F130</f>
        <v>#N/A</v>
      </c>
      <c r="AA130" s="1298" t="e">
        <f>VLOOKUP(G130,massConv[#All], 3, FALSE)*E130</f>
        <v>#N/A</v>
      </c>
      <c r="AB130" s="1142" t="e">
        <f>VLOOKUP(H130,SteamProperties[#All],6,FALSE)</f>
        <v>#N/A</v>
      </c>
      <c r="AC130" s="1142">
        <f>'Key Values'!$C$209</f>
        <v>51.53</v>
      </c>
      <c r="AD130" s="1143">
        <f>IFERROR(VLOOKUP(iq_location,GaseousFuelEmbodiedEmissions[#All],IF(iq_metro,2,3),FALSE),0)</f>
        <v>0</v>
      </c>
      <c r="AE130" s="1079"/>
      <c r="AF130" s="1079"/>
      <c r="AG130" s="1080"/>
    </row>
    <row r="131" spans="2:33" ht="15.65" customHeight="1" x14ac:dyDescent="0.25">
      <c r="B131" s="1105"/>
      <c r="C131" s="1106"/>
      <c r="D131" s="1106"/>
      <c r="E131" s="1106"/>
      <c r="F131" s="1106"/>
      <c r="G131" s="1106"/>
      <c r="H131" s="1115"/>
      <c r="I131" s="1115"/>
      <c r="J131" s="1106"/>
      <c r="K131" s="1106"/>
      <c r="L131" s="1106"/>
      <c r="M131" s="1106"/>
      <c r="N131" s="1144" t="s">
        <v>120</v>
      </c>
      <c r="O131" s="1145">
        <f>SUM(O128:O130)</f>
        <v>0</v>
      </c>
      <c r="P131" s="1146" t="s">
        <v>90</v>
      </c>
      <c r="Q131" s="1107"/>
      <c r="Y131" s="1088"/>
      <c r="Z131" s="1079"/>
      <c r="AA131" s="1079"/>
      <c r="AB131" s="1079"/>
      <c r="AC131" s="1079"/>
      <c r="AD131" s="1079"/>
      <c r="AE131" s="1079"/>
      <c r="AF131" s="1079"/>
      <c r="AG131" s="1080"/>
    </row>
    <row r="132" spans="2:33" ht="15.65" customHeight="1" x14ac:dyDescent="0.25">
      <c r="B132" s="1118"/>
      <c r="C132" s="1118"/>
      <c r="D132" s="1118"/>
      <c r="E132" s="1118"/>
      <c r="F132" s="1118"/>
      <c r="G132" s="1118"/>
      <c r="H132" s="1118"/>
      <c r="I132" s="1118"/>
      <c r="J132" s="1118"/>
      <c r="K132" s="1118"/>
      <c r="L132" s="1118"/>
      <c r="M132" s="1118"/>
      <c r="N132" s="1118"/>
      <c r="O132" s="1118"/>
      <c r="P132" s="1118"/>
      <c r="Q132" s="1118"/>
      <c r="Y132" s="1088"/>
      <c r="Z132" s="1079"/>
      <c r="AA132" s="1079"/>
      <c r="AB132" s="1079"/>
      <c r="AC132" s="1079"/>
      <c r="AD132" s="1079"/>
      <c r="AE132" s="1079"/>
      <c r="AF132" s="1079"/>
      <c r="AG132" s="1080"/>
    </row>
    <row r="133" spans="2:33" ht="15.65" customHeight="1" x14ac:dyDescent="0.25">
      <c r="B133" s="1081"/>
      <c r="C133" s="1082"/>
      <c r="D133" s="1082"/>
      <c r="E133" s="1082"/>
      <c r="F133" s="1082"/>
      <c r="G133" s="1082"/>
      <c r="H133" s="1150" t="s">
        <v>605</v>
      </c>
      <c r="I133" s="1082"/>
      <c r="J133" s="1082"/>
      <c r="K133" s="1082"/>
      <c r="L133" s="1082"/>
      <c r="M133" s="1082"/>
      <c r="N133" s="1082"/>
      <c r="O133" s="1082"/>
      <c r="P133" s="1082"/>
      <c r="Q133" s="1083"/>
      <c r="Y133" s="1088"/>
      <c r="Z133" s="1079"/>
      <c r="AA133" s="1079"/>
      <c r="AB133" s="1079"/>
      <c r="AC133" s="1079"/>
      <c r="AD133" s="1079"/>
      <c r="AE133" s="1079"/>
      <c r="AF133" s="1079"/>
      <c r="AG133" s="1080"/>
    </row>
    <row r="134" spans="2:33" ht="15.65" customHeight="1" x14ac:dyDescent="0.25">
      <c r="B134" s="1084"/>
      <c r="C134" s="1198" t="s">
        <v>799</v>
      </c>
      <c r="D134" s="1151"/>
      <c r="E134" s="1151"/>
      <c r="F134" s="1151"/>
      <c r="G134" s="1151"/>
      <c r="H134" s="1902" t="s">
        <v>606</v>
      </c>
      <c r="I134" s="1151"/>
      <c r="J134" s="1151"/>
      <c r="K134" s="1151"/>
      <c r="L134" s="1151"/>
      <c r="M134" s="1151"/>
      <c r="N134" s="1151"/>
      <c r="O134" s="1151"/>
      <c r="P134" s="1151"/>
      <c r="Q134" s="1087"/>
      <c r="Y134" s="1088"/>
      <c r="Z134" s="1079"/>
      <c r="AA134" s="1079"/>
      <c r="AB134" s="1079"/>
      <c r="AC134" s="1079"/>
      <c r="AD134" s="1079"/>
      <c r="AE134" s="1079"/>
      <c r="AF134" s="1079"/>
      <c r="AG134" s="1080"/>
    </row>
    <row r="135" spans="2:33" ht="15.65" customHeight="1" x14ac:dyDescent="0.25">
      <c r="B135" s="1089"/>
      <c r="C135" s="1090"/>
      <c r="D135" s="1090"/>
      <c r="E135" s="1251" t="s">
        <v>336</v>
      </c>
      <c r="F135" s="1091" t="s">
        <v>337</v>
      </c>
      <c r="G135" s="1111" t="s">
        <v>184</v>
      </c>
      <c r="H135" s="1896"/>
      <c r="I135" s="1111" t="s">
        <v>184</v>
      </c>
      <c r="J135" s="1093"/>
      <c r="K135" s="1093"/>
      <c r="L135" s="1093"/>
      <c r="M135" s="1093"/>
      <c r="N135" s="1093"/>
      <c r="O135" s="1091" t="s">
        <v>323</v>
      </c>
      <c r="P135" s="1093"/>
      <c r="Q135" s="1112"/>
      <c r="Y135" s="1299" t="s">
        <v>607</v>
      </c>
      <c r="Z135" s="1360" t="s">
        <v>608</v>
      </c>
      <c r="AA135" s="1360" t="s">
        <v>609</v>
      </c>
      <c r="AB135" s="1122" t="s">
        <v>324</v>
      </c>
      <c r="AC135" s="1122" t="s">
        <v>610</v>
      </c>
      <c r="AD135" s="1122" t="s">
        <v>611</v>
      </c>
      <c r="AE135" s="1122" t="s">
        <v>612</v>
      </c>
      <c r="AF135" s="1122" t="s">
        <v>338</v>
      </c>
      <c r="AG135" s="1123" t="s">
        <v>613</v>
      </c>
    </row>
    <row r="136" spans="2:33" ht="15.65" customHeight="1" x14ac:dyDescent="0.25">
      <c r="B136" s="1095"/>
      <c r="C136" s="1096"/>
      <c r="D136" s="1096"/>
      <c r="E136" s="1361"/>
      <c r="F136" s="1096"/>
      <c r="G136" s="1098"/>
      <c r="H136" s="1362"/>
      <c r="I136" s="1098"/>
      <c r="J136" s="1096"/>
      <c r="K136" s="1096"/>
      <c r="L136" s="1096"/>
      <c r="M136" s="1096"/>
      <c r="N136" s="1096"/>
      <c r="O136" s="1096"/>
      <c r="P136" s="1096"/>
      <c r="Q136" s="1099"/>
      <c r="Y136" s="1243"/>
      <c r="Z136" s="1244"/>
      <c r="AA136" s="1244"/>
      <c r="AB136" s="1122"/>
      <c r="AC136" s="1122"/>
      <c r="AD136" s="1122"/>
      <c r="AE136" s="1122"/>
      <c r="AF136" s="1122"/>
      <c r="AG136" s="1123"/>
    </row>
    <row r="137" spans="2:33" ht="15.65" customHeight="1" x14ac:dyDescent="0.25">
      <c r="B137" s="1095"/>
      <c r="C137" s="1096" t="s">
        <v>614</v>
      </c>
      <c r="D137" s="1096"/>
      <c r="E137" s="1106"/>
      <c r="F137" s="1096"/>
      <c r="G137" s="1115"/>
      <c r="H137" s="451"/>
      <c r="I137" s="452"/>
      <c r="J137" s="1096"/>
      <c r="K137" s="1096"/>
      <c r="L137" s="1096"/>
      <c r="M137" s="1096"/>
      <c r="N137" s="1288"/>
      <c r="O137" s="1126" t="s">
        <v>325</v>
      </c>
      <c r="P137" s="1155"/>
      <c r="Q137" s="1099"/>
      <c r="Y137" s="1243" t="s">
        <v>84</v>
      </c>
      <c r="Z137" s="1128" t="s">
        <v>615</v>
      </c>
      <c r="AA137" s="1363"/>
      <c r="AB137" s="1122" t="s">
        <v>616</v>
      </c>
      <c r="AC137" s="1122"/>
      <c r="AD137" s="1122" t="s">
        <v>617</v>
      </c>
      <c r="AE137" s="1122"/>
      <c r="AF137" s="1122" t="s">
        <v>617</v>
      </c>
      <c r="AG137" s="1123" t="s">
        <v>128</v>
      </c>
    </row>
    <row r="138" spans="2:33" ht="15.65" customHeight="1" x14ac:dyDescent="0.25">
      <c r="B138" s="1095"/>
      <c r="C138" s="1113" t="s">
        <v>618</v>
      </c>
      <c r="D138" s="1099"/>
      <c r="E138" s="356"/>
      <c r="F138" s="536"/>
      <c r="G138" s="537" t="s">
        <v>90</v>
      </c>
      <c r="H138" s="1364"/>
      <c r="I138" s="1365"/>
      <c r="J138" s="1096"/>
      <c r="K138" s="1096"/>
      <c r="L138" s="1096"/>
      <c r="M138" s="1096"/>
      <c r="N138" s="1130"/>
      <c r="O138" s="1131">
        <f>IF(F138="",0,IFERROR(Z138*AA138*AB138*AC138,'Hidden Lists and Summaries'!$C$158))</f>
        <v>0</v>
      </c>
      <c r="P138" s="1132" t="s">
        <v>90</v>
      </c>
      <c r="Q138" s="1099"/>
      <c r="Y138" s="1469">
        <f>'Key Values'!C241*'Key Values'!C242*amm_quantityProduced_tonnes*1000</f>
        <v>0</v>
      </c>
      <c r="Z138" s="1470">
        <f>IF(H137&lt;&gt;"",VLOOKUP(I137,EnergyConversionTable[#All], 3, FALSE)*H137,Y138)</f>
        <v>0</v>
      </c>
      <c r="AA138" s="1470">
        <f>VLOOKUP(C138,Table8[#All],2,FALSE)</f>
        <v>0.222</v>
      </c>
      <c r="AB138" s="1159">
        <f>'Key Values'!$C$149</f>
        <v>0.95499999999999996</v>
      </c>
      <c r="AC138" s="1471" t="e">
        <f>AF138/AG138</f>
        <v>#DIV/0!</v>
      </c>
      <c r="AD138" s="1159">
        <f>Z138*1/AE138</f>
        <v>0</v>
      </c>
      <c r="AE138" s="1159">
        <f>VLOOKUP(C138,Table32[#All],2,FALSE)</f>
        <v>0.245</v>
      </c>
      <c r="AF138" s="1159">
        <f>F138*VLOOKUP(G138,massConv[#All],3,FALSE)</f>
        <v>0</v>
      </c>
      <c r="AG138" s="1472">
        <f>IF(E138&lt;&gt;"",VLOOKUP(G138,massConv[#All],3,FALSE)*E138,AD138)</f>
        <v>0</v>
      </c>
    </row>
    <row r="139" spans="2:33" ht="15.65" customHeight="1" x14ac:dyDescent="0.25">
      <c r="B139" s="1105"/>
      <c r="C139" s="1106"/>
      <c r="D139" s="1106"/>
      <c r="E139" s="1106"/>
      <c r="F139" s="1106"/>
      <c r="G139" s="1106"/>
      <c r="H139" s="1106"/>
      <c r="I139" s="1115"/>
      <c r="J139" s="1106"/>
      <c r="K139" s="1106"/>
      <c r="L139" s="1106"/>
      <c r="M139" s="1106"/>
      <c r="N139" s="1144" t="s">
        <v>120</v>
      </c>
      <c r="O139" s="1145">
        <f>SUM(O138:O138)</f>
        <v>0</v>
      </c>
      <c r="P139" s="1146" t="s">
        <v>90</v>
      </c>
      <c r="Q139" s="1107"/>
      <c r="Y139" s="1088"/>
      <c r="Z139" s="1079"/>
      <c r="AA139" s="1079"/>
      <c r="AB139" s="1079"/>
      <c r="AC139" s="1079"/>
      <c r="AD139" s="1079"/>
      <c r="AE139" s="1079"/>
      <c r="AF139" s="1079"/>
      <c r="AG139" s="1080"/>
    </row>
    <row r="140" spans="2:33" ht="15.65" customHeight="1" x14ac:dyDescent="0.25">
      <c r="B140" s="1118"/>
      <c r="C140" s="1118"/>
      <c r="D140" s="1118"/>
      <c r="E140" s="1118"/>
      <c r="F140" s="1118"/>
      <c r="G140" s="1118"/>
      <c r="H140" s="1118"/>
      <c r="I140" s="1118"/>
      <c r="J140" s="1118"/>
      <c r="K140" s="1118"/>
      <c r="L140" s="1118"/>
      <c r="M140" s="1118"/>
      <c r="N140" s="1118"/>
      <c r="O140" s="1118"/>
      <c r="P140" s="1118"/>
      <c r="Q140" s="1118"/>
      <c r="Y140" s="1088"/>
      <c r="Z140" s="1079"/>
      <c r="AA140" s="1079"/>
      <c r="AB140" s="1079"/>
      <c r="AC140" s="1079"/>
      <c r="AD140" s="1079"/>
      <c r="AE140" s="1079"/>
      <c r="AF140" s="1080"/>
    </row>
    <row r="141" spans="2:33" ht="15.65" customHeight="1" x14ac:dyDescent="0.25">
      <c r="B141" s="1081"/>
      <c r="C141" s="1082"/>
      <c r="D141" s="1082"/>
      <c r="E141" s="1082"/>
      <c r="F141" s="1082"/>
      <c r="G141" s="1082"/>
      <c r="H141" s="1082"/>
      <c r="I141" s="1082"/>
      <c r="J141" s="1082"/>
      <c r="K141" s="1082"/>
      <c r="L141" s="1082"/>
      <c r="M141" s="1082"/>
      <c r="N141" s="1082"/>
      <c r="O141" s="1082"/>
      <c r="P141" s="1082"/>
      <c r="Q141" s="1083"/>
      <c r="Y141" s="1088"/>
      <c r="Z141" s="1079"/>
      <c r="AA141" s="1079"/>
      <c r="AB141" s="1079"/>
      <c r="AC141" s="1079"/>
      <c r="AD141" s="1079"/>
      <c r="AE141" s="1079"/>
      <c r="AF141" s="1080"/>
    </row>
    <row r="142" spans="2:33" ht="15.65" customHeight="1" x14ac:dyDescent="0.25">
      <c r="B142" s="1084"/>
      <c r="C142" s="1109" t="s">
        <v>343</v>
      </c>
      <c r="D142" s="1086"/>
      <c r="E142" s="1086"/>
      <c r="F142" s="1086"/>
      <c r="G142" s="1086"/>
      <c r="H142" s="1086"/>
      <c r="I142" s="1086"/>
      <c r="J142" s="1086"/>
      <c r="K142" s="1086"/>
      <c r="L142" s="1086"/>
      <c r="M142" s="1086"/>
      <c r="N142" s="1086"/>
      <c r="O142" s="1086"/>
      <c r="P142" s="1086"/>
      <c r="Q142" s="1087"/>
      <c r="Y142" s="1088"/>
      <c r="Z142" s="1079"/>
      <c r="AA142" s="1079"/>
      <c r="AB142" s="1079"/>
      <c r="AC142" s="1079"/>
      <c r="AD142" s="1079"/>
      <c r="AE142" s="1079"/>
      <c r="AF142" s="1080"/>
    </row>
    <row r="143" spans="2:33" ht="15.65" customHeight="1" x14ac:dyDescent="0.25">
      <c r="B143" s="1089"/>
      <c r="C143" s="1090"/>
      <c r="D143" s="1090"/>
      <c r="E143" s="1291" t="s">
        <v>336</v>
      </c>
      <c r="F143" s="1091" t="s">
        <v>337</v>
      </c>
      <c r="G143" s="1091" t="s">
        <v>184</v>
      </c>
      <c r="H143" s="1091" t="s">
        <v>344</v>
      </c>
      <c r="I143" s="1111"/>
      <c r="J143" s="1093"/>
      <c r="K143" s="1093"/>
      <c r="L143" s="1093"/>
      <c r="M143" s="1093"/>
      <c r="N143" s="1093"/>
      <c r="O143" s="1091" t="s">
        <v>323</v>
      </c>
      <c r="P143" s="1093"/>
      <c r="Q143" s="1112"/>
      <c r="Y143" s="1299" t="s">
        <v>340</v>
      </c>
      <c r="Z143" s="1299" t="s">
        <v>338</v>
      </c>
      <c r="AA143" s="1299" t="s">
        <v>345</v>
      </c>
      <c r="AB143" s="1299" t="s">
        <v>346</v>
      </c>
      <c r="AC143" s="1079"/>
      <c r="AD143" s="1079"/>
      <c r="AE143" s="1079"/>
      <c r="AF143" s="1080"/>
    </row>
    <row r="144" spans="2:33" ht="15.65" customHeight="1" x14ac:dyDescent="0.25">
      <c r="B144" s="1095"/>
      <c r="C144" s="1096"/>
      <c r="D144" s="1096"/>
      <c r="E144" s="1173"/>
      <c r="F144" s="1096"/>
      <c r="G144" s="1096"/>
      <c r="H144" s="1096"/>
      <c r="I144" s="1098"/>
      <c r="J144" s="1096"/>
      <c r="K144" s="1096"/>
      <c r="L144" s="1096"/>
      <c r="M144" s="1096"/>
      <c r="N144" s="1288"/>
      <c r="O144" s="1126" t="s">
        <v>325</v>
      </c>
      <c r="P144" s="1155"/>
      <c r="Q144" s="1099"/>
      <c r="Y144" s="1156" t="s">
        <v>347</v>
      </c>
      <c r="Z144" s="1156" t="s">
        <v>347</v>
      </c>
      <c r="AA144" s="1156"/>
      <c r="AB144" s="1156" t="s">
        <v>116</v>
      </c>
      <c r="AC144" s="1079"/>
      <c r="AD144" s="1079"/>
      <c r="AE144" s="1079"/>
      <c r="AF144" s="1080"/>
    </row>
    <row r="145" spans="1:33" ht="15.65" customHeight="1" x14ac:dyDescent="0.25">
      <c r="B145" s="1095"/>
      <c r="C145" s="469" t="s">
        <v>348</v>
      </c>
      <c r="D145" s="1202"/>
      <c r="E145" s="411"/>
      <c r="F145" s="357"/>
      <c r="G145" s="363"/>
      <c r="H145" s="927"/>
      <c r="I145" s="1098"/>
      <c r="J145" s="1096"/>
      <c r="K145" s="1096"/>
      <c r="L145" s="1096"/>
      <c r="M145" s="1096"/>
      <c r="N145" s="1130"/>
      <c r="O145" s="1131">
        <f>IFERROR(AB145,'Hidden Lists and Summaries'!$C$158)</f>
        <v>0</v>
      </c>
      <c r="P145" s="1132" t="s">
        <v>90</v>
      </c>
      <c r="Q145" s="1099"/>
      <c r="Y145" s="1147">
        <f>$E145</f>
        <v>0</v>
      </c>
      <c r="Z145" s="1148">
        <f>$F145</f>
        <v>0</v>
      </c>
      <c r="AA145" s="1148">
        <f>$G145</f>
        <v>0</v>
      </c>
      <c r="AB145" s="1149">
        <f>$H145</f>
        <v>0</v>
      </c>
      <c r="AC145" s="1079"/>
      <c r="AD145" s="1079"/>
      <c r="AE145" s="1079"/>
      <c r="AF145" s="1080"/>
    </row>
    <row r="146" spans="1:33" ht="15.65" customHeight="1" x14ac:dyDescent="0.25">
      <c r="B146" s="1095"/>
      <c r="C146" s="1068" t="s">
        <v>349</v>
      </c>
      <c r="D146" s="1202"/>
      <c r="E146" s="413"/>
      <c r="F146" s="398"/>
      <c r="G146" s="366"/>
      <c r="H146" s="928"/>
      <c r="I146" s="1098"/>
      <c r="J146" s="1096"/>
      <c r="K146" s="1096"/>
      <c r="L146" s="1096"/>
      <c r="M146" s="1096"/>
      <c r="N146" s="1130"/>
      <c r="O146" s="1131">
        <f>IFERROR(AB146,'Hidden Lists and Summaries'!$C$158)</f>
        <v>0</v>
      </c>
      <c r="P146" s="1132" t="s">
        <v>90</v>
      </c>
      <c r="Q146" s="1099"/>
      <c r="Y146" s="1088">
        <f t="shared" ref="Y146:Y147" si="5">$E146</f>
        <v>0</v>
      </c>
      <c r="Z146" s="1079">
        <f t="shared" ref="Z146:Z147" si="6">$F146</f>
        <v>0</v>
      </c>
      <c r="AA146" s="1079">
        <f t="shared" ref="AA146:AA147" si="7">$G146</f>
        <v>0</v>
      </c>
      <c r="AB146" s="1080">
        <f t="shared" ref="AB146:AB147" si="8">$H146</f>
        <v>0</v>
      </c>
      <c r="AC146" s="1079"/>
      <c r="AD146" s="1079"/>
      <c r="AE146" s="1079"/>
      <c r="AF146" s="1080"/>
    </row>
    <row r="147" spans="1:33" ht="15.65" customHeight="1" x14ac:dyDescent="0.25">
      <c r="B147" s="1095"/>
      <c r="C147" s="470" t="s">
        <v>350</v>
      </c>
      <c r="D147" s="1202"/>
      <c r="E147" s="415"/>
      <c r="F147" s="360"/>
      <c r="G147" s="442"/>
      <c r="H147" s="929"/>
      <c r="I147" s="1098"/>
      <c r="J147" s="1096"/>
      <c r="K147" s="1096"/>
      <c r="L147" s="1096"/>
      <c r="M147" s="1096"/>
      <c r="N147" s="1130"/>
      <c r="O147" s="1139">
        <f>IFERROR(AB147,'Hidden Lists and Summaries'!$C$158)</f>
        <v>0</v>
      </c>
      <c r="P147" s="1132" t="s">
        <v>90</v>
      </c>
      <c r="Q147" s="1099"/>
      <c r="Y147" s="1197">
        <f t="shared" si="5"/>
        <v>0</v>
      </c>
      <c r="Z147" s="1142">
        <f t="shared" si="6"/>
        <v>0</v>
      </c>
      <c r="AA147" s="1142">
        <f t="shared" si="7"/>
        <v>0</v>
      </c>
      <c r="AB147" s="1143">
        <f t="shared" si="8"/>
        <v>0</v>
      </c>
      <c r="AC147" s="1079"/>
      <c r="AD147" s="1079"/>
      <c r="AE147" s="1079"/>
      <c r="AF147" s="1080"/>
    </row>
    <row r="148" spans="1:33" ht="15.65" customHeight="1" x14ac:dyDescent="0.25">
      <c r="B148" s="1105"/>
      <c r="C148" s="1106"/>
      <c r="D148" s="1106"/>
      <c r="E148" s="1106"/>
      <c r="F148" s="1106"/>
      <c r="G148" s="1097"/>
      <c r="H148" s="1115"/>
      <c r="I148" s="1115"/>
      <c r="J148" s="1106"/>
      <c r="K148" s="1106"/>
      <c r="L148" s="1106"/>
      <c r="M148" s="1106"/>
      <c r="N148" s="1144" t="s">
        <v>120</v>
      </c>
      <c r="O148" s="1145">
        <f>SUM(O145:O147)</f>
        <v>0</v>
      </c>
      <c r="P148" s="1146" t="s">
        <v>90</v>
      </c>
      <c r="Q148" s="1107"/>
      <c r="Y148" s="1088"/>
      <c r="Z148" s="1079"/>
      <c r="AA148" s="1079"/>
      <c r="AB148" s="1079"/>
      <c r="AC148" s="1079"/>
      <c r="AD148" s="1079"/>
      <c r="AE148" s="1079"/>
      <c r="AF148" s="1080"/>
    </row>
    <row r="149" spans="1:33" ht="15.65" customHeight="1" x14ac:dyDescent="0.25">
      <c r="B149" s="1118"/>
      <c r="C149" s="1118"/>
      <c r="D149" s="1118"/>
      <c r="E149" s="1118"/>
      <c r="F149" s="1118"/>
      <c r="G149" s="1118"/>
      <c r="H149" s="1118"/>
      <c r="I149" s="1118"/>
      <c r="J149" s="1118"/>
      <c r="K149" s="1118"/>
      <c r="L149" s="1118"/>
      <c r="M149" s="1118"/>
      <c r="N149" s="1118"/>
      <c r="O149" s="1118"/>
      <c r="P149" s="1118"/>
      <c r="Q149" s="1118"/>
      <c r="Y149" s="1088"/>
      <c r="Z149" s="1079"/>
      <c r="AA149" s="1079"/>
      <c r="AB149" s="1079"/>
      <c r="AC149" s="1079"/>
      <c r="AD149" s="1079"/>
      <c r="AE149" s="1079"/>
      <c r="AF149" s="1079"/>
      <c r="AG149" s="1080"/>
    </row>
    <row r="150" spans="1:33" ht="15.65" customHeight="1" x14ac:dyDescent="0.25">
      <c r="A150" s="1164"/>
      <c r="B150" s="1081"/>
      <c r="C150" s="1082"/>
      <c r="D150" s="1082"/>
      <c r="E150" s="1082"/>
      <c r="F150" s="1082"/>
      <c r="G150" s="1082"/>
      <c r="H150" s="1082"/>
      <c r="I150" s="1082"/>
      <c r="J150" s="1082"/>
      <c r="K150" s="1082"/>
      <c r="L150" s="1082"/>
      <c r="M150" s="1082"/>
      <c r="N150" s="1082"/>
      <c r="O150" s="1082"/>
      <c r="P150" s="1082"/>
      <c r="Q150" s="1083"/>
      <c r="Y150" s="1088"/>
      <c r="Z150" s="1079"/>
      <c r="AA150" s="1079"/>
      <c r="AB150" s="1079"/>
      <c r="AC150" s="1079"/>
      <c r="AD150" s="1079"/>
      <c r="AE150" s="1079"/>
      <c r="AF150" s="1079"/>
      <c r="AG150" s="1080"/>
    </row>
    <row r="151" spans="1:33" ht="15.65" customHeight="1" x14ac:dyDescent="0.25">
      <c r="A151" s="1164"/>
      <c r="B151" s="1084"/>
      <c r="C151" s="1198" t="s">
        <v>351</v>
      </c>
      <c r="D151" s="1151"/>
      <c r="E151" s="1151"/>
      <c r="F151" s="1151"/>
      <c r="G151" s="1151"/>
      <c r="H151" s="1151"/>
      <c r="I151" s="1151"/>
      <c r="J151" s="1151"/>
      <c r="K151" s="1151"/>
      <c r="L151" s="1151"/>
      <c r="M151" s="1151"/>
      <c r="N151" s="1151"/>
      <c r="O151" s="1151"/>
      <c r="P151" s="1151"/>
      <c r="Q151" s="1087"/>
      <c r="Y151" s="1088"/>
      <c r="Z151" s="1079"/>
      <c r="AA151" s="1079"/>
      <c r="AB151" s="1079"/>
      <c r="AC151" s="1079"/>
      <c r="AD151" s="1079"/>
      <c r="AE151" s="1079"/>
      <c r="AF151" s="1079"/>
      <c r="AG151" s="1080"/>
    </row>
    <row r="152" spans="1:33" ht="15.65" customHeight="1" x14ac:dyDescent="0.25">
      <c r="A152" s="1164"/>
      <c r="B152" s="1089"/>
      <c r="C152" s="1090"/>
      <c r="D152" s="1090"/>
      <c r="E152" s="1091" t="s">
        <v>352</v>
      </c>
      <c r="F152" s="1091" t="s">
        <v>353</v>
      </c>
      <c r="G152" s="1091" t="s">
        <v>184</v>
      </c>
      <c r="H152" s="1111"/>
      <c r="I152" s="1111"/>
      <c r="J152" s="1093"/>
      <c r="K152" s="1093"/>
      <c r="L152" s="1093"/>
      <c r="M152" s="1093"/>
      <c r="N152" s="1093"/>
      <c r="O152" s="1091" t="s">
        <v>82</v>
      </c>
      <c r="P152" s="1093"/>
      <c r="Q152" s="1112"/>
      <c r="Y152" s="1088"/>
      <c r="Z152" s="1079"/>
      <c r="AA152" s="1079"/>
      <c r="AB152" s="1079"/>
      <c r="AC152" s="1079"/>
      <c r="AD152" s="1079"/>
      <c r="AE152" s="1079"/>
      <c r="AF152" s="1079"/>
      <c r="AG152" s="1080"/>
    </row>
    <row r="153" spans="1:33" ht="15.65" customHeight="1" x14ac:dyDescent="0.25">
      <c r="A153" s="1164"/>
      <c r="B153" s="1095"/>
      <c r="C153" s="1096"/>
      <c r="D153" s="1096"/>
      <c r="E153" s="1106"/>
      <c r="F153" s="1096"/>
      <c r="G153" s="1096"/>
      <c r="H153" s="1098"/>
      <c r="I153" s="1098"/>
      <c r="J153" s="1096"/>
      <c r="K153" s="1096"/>
      <c r="L153" s="1096"/>
      <c r="M153" s="1096"/>
      <c r="N153" s="1096"/>
      <c r="O153" s="1096"/>
      <c r="P153" s="1096"/>
      <c r="Q153" s="1099"/>
      <c r="Y153" s="1299" t="s">
        <v>354</v>
      </c>
      <c r="Z153" s="1079"/>
      <c r="AA153" s="1079"/>
      <c r="AB153" s="1079"/>
      <c r="AC153" s="1079"/>
      <c r="AD153" s="1079"/>
      <c r="AE153" s="1079"/>
      <c r="AF153" s="1079"/>
      <c r="AG153" s="1080"/>
    </row>
    <row r="154" spans="1:33" ht="15.65" customHeight="1" x14ac:dyDescent="0.25">
      <c r="A154" s="1164"/>
      <c r="B154" s="1095"/>
      <c r="C154" s="1096" t="s">
        <v>355</v>
      </c>
      <c r="D154" s="1096"/>
      <c r="E154" s="572"/>
      <c r="F154" s="573"/>
      <c r="G154" s="1300" t="s">
        <v>183</v>
      </c>
      <c r="H154" s="1098"/>
      <c r="I154" s="1098"/>
      <c r="J154" s="1096"/>
      <c r="K154" s="1096"/>
      <c r="L154" s="1096"/>
      <c r="M154" s="1096"/>
      <c r="N154" s="1096"/>
      <c r="O154" s="1096"/>
      <c r="P154" s="1096"/>
      <c r="Q154" s="1099"/>
      <c r="Y154" s="1153" t="s">
        <v>116</v>
      </c>
      <c r="Z154" s="1079"/>
      <c r="AA154" s="1079"/>
      <c r="AB154" s="1079"/>
      <c r="AC154" s="1079"/>
      <c r="AD154" s="1079"/>
      <c r="AE154" s="1079"/>
      <c r="AF154" s="1079"/>
      <c r="AG154" s="1080"/>
    </row>
    <row r="155" spans="1:33" ht="15.65" customHeight="1" x14ac:dyDescent="0.25">
      <c r="A155" s="1164"/>
      <c r="B155" s="1095"/>
      <c r="C155" s="1113" t="s">
        <v>356</v>
      </c>
      <c r="D155" s="1096"/>
      <c r="E155" s="407"/>
      <c r="F155" s="480"/>
      <c r="G155" s="1301" t="s">
        <v>183</v>
      </c>
      <c r="H155" s="1098"/>
      <c r="I155" s="1098"/>
      <c r="J155" s="1096"/>
      <c r="K155" s="1096"/>
      <c r="L155" s="1096"/>
      <c r="M155" s="1096"/>
      <c r="N155" s="1182"/>
      <c r="O155" s="1183">
        <f>IF(F155="",0,IFERROR(Y155,'Hidden Lists and Summaries'!$C$158))</f>
        <v>0</v>
      </c>
      <c r="P155" s="1184" t="s">
        <v>90</v>
      </c>
      <c r="Q155" s="1099"/>
      <c r="Y155" s="1302">
        <f>F155*VLOOKUP(G155,massConv[#All],3,FALSE)</f>
        <v>0</v>
      </c>
      <c r="Z155" s="1079"/>
      <c r="AA155" s="1079"/>
      <c r="AB155" s="1079"/>
      <c r="AC155" s="1079"/>
      <c r="AD155" s="1079"/>
      <c r="AE155" s="1079"/>
      <c r="AF155" s="1079"/>
      <c r="AG155" s="1080"/>
    </row>
    <row r="156" spans="1:33" ht="15.65" customHeight="1" x14ac:dyDescent="0.25">
      <c r="A156" s="1164"/>
      <c r="B156" s="1105"/>
      <c r="C156" s="1106"/>
      <c r="D156" s="1106"/>
      <c r="E156" s="1106"/>
      <c r="F156" s="1106"/>
      <c r="G156" s="1106"/>
      <c r="H156" s="1115"/>
      <c r="I156" s="1115"/>
      <c r="J156" s="1106"/>
      <c r="K156" s="1106"/>
      <c r="L156" s="1106"/>
      <c r="M156" s="1106"/>
      <c r="N156" s="1144" t="s">
        <v>120</v>
      </c>
      <c r="O156" s="1145">
        <f>SUM(O155)</f>
        <v>0</v>
      </c>
      <c r="P156" s="1146" t="s">
        <v>90</v>
      </c>
      <c r="Q156" s="1107"/>
      <c r="Y156" s="1088"/>
      <c r="Z156" s="1079"/>
      <c r="AA156" s="1079"/>
      <c r="AB156" s="1079"/>
      <c r="AC156" s="1079"/>
      <c r="AD156" s="1079"/>
      <c r="AE156" s="1079"/>
      <c r="AF156" s="1079"/>
      <c r="AG156" s="1080"/>
    </row>
    <row r="157" spans="1:33" s="1303" customFormat="1" ht="15.65" customHeight="1" x14ac:dyDescent="0.25">
      <c r="B157" s="1304"/>
      <c r="C157" s="1304"/>
      <c r="D157" s="1304"/>
      <c r="E157" s="1304"/>
      <c r="F157" s="1304"/>
      <c r="G157" s="1304"/>
      <c r="H157" s="1305"/>
      <c r="I157" s="1305"/>
      <c r="J157" s="1304"/>
      <c r="K157" s="1304"/>
      <c r="L157" s="1304"/>
      <c r="M157" s="1304"/>
      <c r="N157" s="1306"/>
      <c r="O157" s="1304"/>
      <c r="P157" s="1304"/>
      <c r="Q157" s="1304"/>
      <c r="Y157" s="1307"/>
      <c r="Z157" s="1305"/>
      <c r="AA157" s="1305"/>
      <c r="AB157" s="1305"/>
      <c r="AC157" s="1305"/>
      <c r="AD157" s="1305"/>
      <c r="AE157" s="1305"/>
      <c r="AF157" s="1305"/>
      <c r="AG157" s="1308"/>
    </row>
    <row r="158" spans="1:33" s="1303" customFormat="1" ht="15.65" customHeight="1" x14ac:dyDescent="0.25">
      <c r="B158" s="1309" t="str">
        <f ca="1">IF(H187&gt;0,"NOTE: Reductions and co-allocations exceed operational emissions. Excess reductions and Co-Allocations equivalent to " &amp; H187 &amp;"kg CO2-e","")</f>
        <v/>
      </c>
      <c r="C158" s="1304"/>
      <c r="D158" s="1304"/>
      <c r="E158" s="1304"/>
      <c r="F158" s="1304"/>
      <c r="G158" s="1304"/>
      <c r="H158" s="1305"/>
      <c r="I158" s="1305"/>
      <c r="J158" s="1304"/>
      <c r="K158" s="1304"/>
      <c r="L158" s="1304"/>
      <c r="M158" s="1304"/>
      <c r="N158" s="1306"/>
      <c r="O158" s="1304"/>
      <c r="P158" s="1304"/>
      <c r="Q158" s="1304"/>
      <c r="Y158" s="1307"/>
      <c r="Z158" s="1305"/>
      <c r="AA158" s="1305"/>
      <c r="AB158" s="1305"/>
      <c r="AC158" s="1305"/>
      <c r="AD158" s="1305"/>
      <c r="AE158" s="1305"/>
      <c r="AF158" s="1305"/>
      <c r="AG158" s="1308"/>
    </row>
    <row r="159" spans="1:33" s="1303" customFormat="1" ht="15.65" customHeight="1" x14ac:dyDescent="0.25">
      <c r="B159" s="1304"/>
      <c r="C159" s="1304"/>
      <c r="D159" s="1304"/>
      <c r="E159" s="1304"/>
      <c r="F159" s="1304"/>
      <c r="G159" s="1304"/>
      <c r="H159" s="1305"/>
      <c r="I159" s="1305"/>
      <c r="J159" s="1304"/>
      <c r="K159" s="1304"/>
      <c r="L159" s="1304"/>
      <c r="M159" s="1304"/>
      <c r="N159" s="1306"/>
      <c r="O159" s="1304"/>
      <c r="P159" s="1304"/>
      <c r="Q159" s="1304"/>
      <c r="Y159" s="1307"/>
      <c r="Z159" s="1305"/>
      <c r="AA159" s="1305"/>
      <c r="AB159" s="1305"/>
      <c r="AC159" s="1305"/>
      <c r="AD159" s="1305"/>
      <c r="AE159" s="1305"/>
      <c r="AF159" s="1305"/>
      <c r="AG159" s="1308"/>
    </row>
    <row r="160" spans="1:33" ht="15.65" customHeight="1" x14ac:dyDescent="0.25">
      <c r="A160" s="1164"/>
      <c r="B160" s="1070"/>
      <c r="C160" s="1070"/>
      <c r="D160" s="1070"/>
      <c r="E160" s="1070"/>
      <c r="F160" s="1070"/>
      <c r="G160" s="1070"/>
      <c r="H160" s="1070"/>
      <c r="I160" s="1070"/>
      <c r="J160" s="1070"/>
      <c r="K160" s="1070"/>
      <c r="L160" s="1070"/>
      <c r="M160" s="1070"/>
      <c r="N160" s="1070"/>
      <c r="O160" s="1070"/>
      <c r="P160" s="1070"/>
      <c r="Q160" s="1070"/>
      <c r="Y160" s="1088"/>
      <c r="Z160" s="1079"/>
      <c r="AA160" s="1079"/>
      <c r="AB160" s="1079"/>
      <c r="AC160" s="1079"/>
      <c r="AD160" s="1079"/>
      <c r="AE160" s="1079"/>
      <c r="AF160" s="1079"/>
      <c r="AG160" s="1080"/>
    </row>
    <row r="161" spans="1:33" ht="15.65" customHeight="1" x14ac:dyDescent="0.25">
      <c r="A161" s="1164"/>
      <c r="B161" s="1070"/>
      <c r="C161" s="1074" t="s">
        <v>357</v>
      </c>
      <c r="D161" s="1070"/>
      <c r="E161" s="1070"/>
      <c r="F161" s="1070"/>
      <c r="G161" s="1070"/>
      <c r="H161" s="1070"/>
      <c r="I161" s="1070"/>
      <c r="J161" s="1070"/>
      <c r="K161" s="1070"/>
      <c r="L161" s="1070"/>
      <c r="M161" s="1070"/>
      <c r="N161" s="1070"/>
      <c r="O161" s="1070"/>
      <c r="P161" s="1070"/>
      <c r="Q161" s="1070"/>
      <c r="Y161" s="1088"/>
      <c r="Z161" s="1079"/>
      <c r="AA161" s="1079"/>
      <c r="AB161" s="1079"/>
      <c r="AC161" s="1079"/>
      <c r="AD161" s="1079"/>
      <c r="AE161" s="1079"/>
      <c r="AF161" s="1079"/>
      <c r="AG161" s="1080"/>
    </row>
    <row r="162" spans="1:33" ht="15.65" customHeight="1" x14ac:dyDescent="0.25">
      <c r="A162" s="1164"/>
      <c r="B162" s="1070"/>
      <c r="C162" s="1070"/>
      <c r="D162" s="1070"/>
      <c r="E162" s="1070"/>
      <c r="F162" s="1070"/>
      <c r="G162" s="1070"/>
      <c r="H162" s="1070"/>
      <c r="I162" s="1070"/>
      <c r="J162" s="1070"/>
      <c r="K162" s="1070"/>
      <c r="L162" s="1070"/>
      <c r="M162" s="1070"/>
      <c r="N162" s="1070"/>
      <c r="O162" s="1070"/>
      <c r="P162" s="1070"/>
      <c r="Q162" s="1070"/>
      <c r="Y162" s="1088"/>
      <c r="Z162" s="1079"/>
      <c r="AA162" s="1079"/>
      <c r="AB162" s="1079"/>
      <c r="AC162" s="1079"/>
      <c r="AD162" s="1079"/>
      <c r="AE162" s="1079"/>
      <c r="AF162" s="1079"/>
      <c r="AG162" s="1080"/>
    </row>
    <row r="163" spans="1:33" ht="15.65" customHeight="1" x14ac:dyDescent="0.25">
      <c r="A163" s="1164"/>
      <c r="B163" s="1118"/>
      <c r="C163" s="1118"/>
      <c r="D163" s="1118"/>
      <c r="E163" s="1118"/>
      <c r="F163" s="1118"/>
      <c r="G163" s="1118"/>
      <c r="H163" s="1118"/>
      <c r="I163" s="1118"/>
      <c r="J163" s="1118"/>
      <c r="K163" s="1118"/>
      <c r="L163" s="1118"/>
      <c r="M163" s="1118"/>
      <c r="N163" s="1118"/>
      <c r="O163" s="1118"/>
      <c r="P163" s="1118"/>
      <c r="Q163" s="1118"/>
      <c r="Y163" s="1088"/>
      <c r="Z163" s="1079"/>
      <c r="AA163" s="1079"/>
      <c r="AB163" s="1079"/>
      <c r="AC163" s="1079"/>
      <c r="AD163" s="1079"/>
      <c r="AE163" s="1079"/>
      <c r="AF163" s="1079"/>
      <c r="AG163" s="1080"/>
    </row>
    <row r="164" spans="1:33" ht="15.65" customHeight="1" x14ac:dyDescent="0.25">
      <c r="A164"/>
      <c r="B164"/>
      <c r="C164"/>
      <c r="D164"/>
      <c r="E164" s="1121" t="s">
        <v>358</v>
      </c>
      <c r="F164" s="1154" t="s">
        <v>359</v>
      </c>
      <c r="G164" s="1122" t="s">
        <v>360</v>
      </c>
      <c r="H164" s="1121" t="s">
        <v>361</v>
      </c>
      <c r="I164" s="1154" t="s">
        <v>362</v>
      </c>
      <c r="K164" s="4" t="s">
        <v>800</v>
      </c>
      <c r="L164" s="4" t="s">
        <v>801</v>
      </c>
      <c r="M164" s="4" t="s">
        <v>802</v>
      </c>
      <c r="Y164" s="1088"/>
      <c r="Z164" s="1079"/>
      <c r="AA164" s="1079"/>
      <c r="AB164" s="1079"/>
      <c r="AC164" s="1079"/>
      <c r="AD164" s="1079"/>
      <c r="AE164" s="1079"/>
      <c r="AF164" s="1079"/>
      <c r="AG164" s="1080"/>
    </row>
    <row r="165" spans="1:33" ht="15.65" customHeight="1" x14ac:dyDescent="0.25">
      <c r="A165"/>
      <c r="B165"/>
      <c r="C165"/>
      <c r="D165"/>
      <c r="E165" t="s">
        <v>803</v>
      </c>
      <c r="F165" t="s">
        <v>804</v>
      </c>
      <c r="G165"/>
      <c r="H165">
        <f ca="1">IFERROR(SUM(H257:H261), 'Hidden Lists and Summaries'!$C$158)</f>
        <v>0</v>
      </c>
      <c r="I165" t="s">
        <v>90</v>
      </c>
      <c r="K165" t="e">
        <f>VLOOKUP(iq_selectedPathway,$L$165:$M$167,2,FALSE)</f>
        <v>#N/A</v>
      </c>
      <c r="L165" s="9" t="str" cm="1">
        <f t="array" ref="L165:L167">Table34[Pathway Category]</f>
        <v>Electrolysis</v>
      </c>
      <c r="M165" t="s">
        <v>805</v>
      </c>
      <c r="Y165" s="1088"/>
      <c r="Z165" s="1079"/>
      <c r="AA165" s="1079"/>
      <c r="AB165" s="1079"/>
      <c r="AC165" s="1079"/>
      <c r="AD165" s="1079"/>
      <c r="AE165" s="1079"/>
      <c r="AF165" s="1079"/>
      <c r="AG165" s="1080"/>
    </row>
    <row r="166" spans="1:33" ht="15.65" customHeight="1" x14ac:dyDescent="0.25">
      <c r="A166"/>
      <c r="B166"/>
      <c r="C166"/>
      <c r="D166"/>
      <c r="E166" t="s">
        <v>803</v>
      </c>
      <c r="F166" t="s">
        <v>365</v>
      </c>
      <c r="G166"/>
      <c r="H166">
        <f ca="1">IFERROR(H262, 'Hidden Lists and Summaries'!$C$158)</f>
        <v>0</v>
      </c>
      <c r="I166" t="s">
        <v>90</v>
      </c>
      <c r="L166" s="9" t="str">
        <v>Natural Gas Reforming</v>
      </c>
      <c r="M166" t="s">
        <v>806</v>
      </c>
      <c r="Y166" s="263"/>
      <c r="Z166"/>
      <c r="AA166" s="1079"/>
      <c r="AB166" s="1079"/>
      <c r="AC166" s="1079"/>
      <c r="AD166" s="1079"/>
      <c r="AE166" s="1079"/>
      <c r="AF166" s="1079"/>
      <c r="AG166" s="1080"/>
    </row>
    <row r="167" spans="1:33" ht="15.65" customHeight="1" x14ac:dyDescent="0.25">
      <c r="A167"/>
      <c r="B167"/>
      <c r="C167"/>
      <c r="D167"/>
      <c r="E167" t="s">
        <v>803</v>
      </c>
      <c r="F167" t="s">
        <v>366</v>
      </c>
      <c r="G167"/>
      <c r="H167">
        <f ca="1">IFERROR(H263, 'Hidden Lists and Summaries'!$C$158)</f>
        <v>0</v>
      </c>
      <c r="I167" t="s">
        <v>90</v>
      </c>
      <c r="L167" s="9" t="str">
        <v>Coal Gasification</v>
      </c>
      <c r="M167" t="s">
        <v>807</v>
      </c>
      <c r="Y167" s="263"/>
      <c r="Z167"/>
      <c r="AA167" s="1079"/>
      <c r="AB167" s="1079"/>
      <c r="AC167" s="1079"/>
      <c r="AD167" s="1079"/>
      <c r="AE167" s="1079"/>
      <c r="AF167" s="1079"/>
      <c r="AG167" s="1080"/>
    </row>
    <row r="168" spans="1:33" ht="15.65" customHeight="1" x14ac:dyDescent="0.25">
      <c r="A168"/>
      <c r="B168"/>
      <c r="C168"/>
      <c r="D168"/>
      <c r="E168" t="s">
        <v>803</v>
      </c>
      <c r="F168" t="s">
        <v>118</v>
      </c>
      <c r="G168"/>
      <c r="H168">
        <f ca="1">IFERROR(H264, 'Hidden Lists and Summaries'!$C$158)</f>
        <v>0</v>
      </c>
      <c r="I168" t="s">
        <v>90</v>
      </c>
      <c r="S168" s="1336"/>
      <c r="Y168" s="263"/>
      <c r="Z168"/>
      <c r="AA168" s="1079"/>
      <c r="AB168" s="1079"/>
      <c r="AC168" s="1079"/>
      <c r="AD168" s="1079"/>
      <c r="AE168" s="1079"/>
      <c r="AF168" s="1079"/>
      <c r="AG168" s="1080"/>
    </row>
    <row r="169" spans="1:33" ht="15.65" customHeight="1" x14ac:dyDescent="0.25">
      <c r="A169"/>
      <c r="B169"/>
      <c r="C169"/>
      <c r="D169"/>
      <c r="E169" t="s">
        <v>803</v>
      </c>
      <c r="F169" t="s">
        <v>367</v>
      </c>
      <c r="G169"/>
      <c r="H169">
        <f ca="1">IFERROR(H265, 'Hidden Lists and Summaries'!$C$158)</f>
        <v>0</v>
      </c>
      <c r="I169" t="s">
        <v>90</v>
      </c>
      <c r="S169" s="1336"/>
      <c r="Y169" s="263"/>
      <c r="Z169"/>
      <c r="AA169" s="1079"/>
      <c r="AB169" s="1079"/>
      <c r="AC169" s="1079"/>
      <c r="AD169" s="1079"/>
      <c r="AE169" s="1079"/>
      <c r="AF169" s="1079"/>
      <c r="AG169" s="1080"/>
    </row>
    <row r="170" spans="1:33" ht="15.65" customHeight="1" x14ac:dyDescent="0.25">
      <c r="A170"/>
      <c r="B170"/>
      <c r="C170"/>
      <c r="D170"/>
      <c r="E170" t="s">
        <v>803</v>
      </c>
      <c r="F170" t="s">
        <v>368</v>
      </c>
      <c r="G170"/>
      <c r="H170">
        <f ca="1">IFERROR(H266, 'Hidden Lists and Summaries'!$C$158)</f>
        <v>0</v>
      </c>
      <c r="I170" t="s">
        <v>90</v>
      </c>
      <c r="K170"/>
      <c r="L170"/>
      <c r="M170"/>
      <c r="S170" s="1336"/>
      <c r="Y170" s="263"/>
      <c r="Z170"/>
      <c r="AA170" s="1079"/>
      <c r="AB170" s="1079"/>
      <c r="AC170" s="1079"/>
      <c r="AD170" s="1079"/>
      <c r="AE170" s="1079"/>
      <c r="AF170" s="1079"/>
      <c r="AG170" s="1080"/>
    </row>
    <row r="171" spans="1:33" x14ac:dyDescent="0.25">
      <c r="A171"/>
      <c r="B171"/>
      <c r="C171"/>
      <c r="D171"/>
      <c r="E171" t="s">
        <v>803</v>
      </c>
      <c r="F171" t="s">
        <v>370</v>
      </c>
      <c r="G171"/>
      <c r="H171">
        <f ca="1">IFERROR(SUM(H165:H170),'Hidden Lists and Summaries'!$C$158)</f>
        <v>0</v>
      </c>
      <c r="I171" t="s">
        <v>90</v>
      </c>
      <c r="K171"/>
      <c r="L171"/>
      <c r="M171"/>
      <c r="S171" s="1336"/>
      <c r="Y171" s="263"/>
      <c r="Z171"/>
      <c r="AA171" s="1079"/>
      <c r="AB171" s="1079"/>
      <c r="AC171" s="1079"/>
      <c r="AD171" s="1079"/>
      <c r="AE171" s="1079"/>
      <c r="AF171" s="1079"/>
      <c r="AG171" s="1080"/>
    </row>
    <row r="172" spans="1:33" x14ac:dyDescent="0.25">
      <c r="A172"/>
      <c r="B172"/>
      <c r="C172"/>
      <c r="D172"/>
      <c r="E172" t="s">
        <v>803</v>
      </c>
      <c r="F172" t="s">
        <v>371</v>
      </c>
      <c r="G172"/>
      <c r="H172" t="str">
        <f ca="1">IFERROR(H171/(amm_quantityProduced_tonnes*1000),'Hidden Lists and Summaries'!$C$158)</f>
        <v>Error -  Review inputs</v>
      </c>
      <c r="I172" t="s">
        <v>808</v>
      </c>
      <c r="K172"/>
      <c r="L172"/>
      <c r="M172"/>
      <c r="S172" s="1336"/>
      <c r="Y172" s="263"/>
      <c r="Z172"/>
      <c r="AA172" s="1079"/>
      <c r="AB172" s="1079"/>
      <c r="AC172" s="1079"/>
      <c r="AD172" s="1079"/>
      <c r="AE172" s="1079"/>
      <c r="AF172" s="1079"/>
      <c r="AG172" s="1080"/>
    </row>
    <row r="173" spans="1:33" x14ac:dyDescent="0.25">
      <c r="A173"/>
      <c r="B173"/>
      <c r="C173"/>
      <c r="D173"/>
      <c r="E173" t="s">
        <v>803</v>
      </c>
      <c r="F173" t="s">
        <v>809</v>
      </c>
      <c r="G173"/>
      <c r="H173" s="227">
        <f ca="1">H267</f>
        <v>0</v>
      </c>
      <c r="I173" t="s">
        <v>90</v>
      </c>
      <c r="K173"/>
      <c r="L173"/>
      <c r="M173"/>
      <c r="S173" s="1336"/>
      <c r="Y173" s="263"/>
      <c r="Z173"/>
      <c r="AA173" s="1079"/>
      <c r="AB173" s="1079"/>
      <c r="AC173" s="1079"/>
      <c r="AD173" s="1079"/>
      <c r="AE173" s="1079"/>
      <c r="AF173" s="1079"/>
      <c r="AG173" s="1080"/>
    </row>
    <row r="174" spans="1:33" ht="15.65" customHeight="1" x14ac:dyDescent="0.25">
      <c r="A174"/>
      <c r="B174"/>
      <c r="C174"/>
      <c r="D174"/>
      <c r="E174" t="s">
        <v>803</v>
      </c>
      <c r="F174" t="s">
        <v>810</v>
      </c>
      <c r="G174"/>
      <c r="H174">
        <f ca="1">IFERROR(H268,'Hidden Lists and Summaries'!$C$158)</f>
        <v>0</v>
      </c>
      <c r="I174" t="s">
        <v>90</v>
      </c>
      <c r="Y174" s="263"/>
      <c r="Z174"/>
      <c r="AA174" s="1079"/>
      <c r="AB174" s="1079"/>
      <c r="AC174" s="1079"/>
      <c r="AD174" s="1079"/>
      <c r="AE174" s="1079"/>
      <c r="AF174" s="1079"/>
      <c r="AG174" s="1080"/>
    </row>
    <row r="175" spans="1:33" ht="15.65" customHeight="1" x14ac:dyDescent="0.25">
      <c r="A175"/>
      <c r="B175"/>
      <c r="C175"/>
      <c r="D175"/>
      <c r="E175" t="s">
        <v>803</v>
      </c>
      <c r="F175" t="s">
        <v>811</v>
      </c>
      <c r="G175"/>
      <c r="H175">
        <f ca="1">IFERROR(H269,'Hidden Lists and Summaries'!$C$158)</f>
        <v>0</v>
      </c>
      <c r="I175" t="s">
        <v>90</v>
      </c>
      <c r="K175" s="9"/>
      <c r="L175"/>
      <c r="M175"/>
      <c r="Y175" s="263"/>
      <c r="Z175"/>
      <c r="AA175" s="1079"/>
      <c r="AB175" s="1079"/>
      <c r="AC175" s="1079"/>
      <c r="AD175" s="1079"/>
      <c r="AE175" s="1079"/>
      <c r="AF175" s="1079"/>
      <c r="AG175" s="1080"/>
    </row>
    <row r="176" spans="1:33" ht="15.65" customHeight="1" x14ac:dyDescent="0.25">
      <c r="A176"/>
      <c r="B176"/>
      <c r="C176"/>
      <c r="D176"/>
      <c r="E176" t="s">
        <v>803</v>
      </c>
      <c r="F176" t="s">
        <v>812</v>
      </c>
      <c r="G176"/>
      <c r="H176">
        <f ca="1">IFERROR(H270,'Hidden Lists and Summaries'!$C$158)</f>
        <v>0</v>
      </c>
      <c r="I176" t="s">
        <v>90</v>
      </c>
      <c r="K176" s="9"/>
      <c r="L176"/>
      <c r="M176"/>
      <c r="Y176" s="1088"/>
      <c r="Z176" s="1079"/>
      <c r="AA176" s="1079"/>
      <c r="AB176" s="1079"/>
      <c r="AC176" s="1079"/>
      <c r="AD176" s="1079"/>
      <c r="AE176" s="1079"/>
      <c r="AF176" s="1079"/>
      <c r="AG176" s="1080"/>
    </row>
    <row r="177" spans="1:43" ht="15.65" customHeight="1" x14ac:dyDescent="0.25">
      <c r="A177"/>
      <c r="B177"/>
      <c r="C177"/>
      <c r="D177"/>
      <c r="E177" t="s">
        <v>803</v>
      </c>
      <c r="F177" t="s">
        <v>813</v>
      </c>
      <c r="G177"/>
      <c r="H177">
        <f ca="1">IFERROR(H271,'Hidden Lists and Summaries'!$C$158)</f>
        <v>0</v>
      </c>
      <c r="I177" t="s">
        <v>90</v>
      </c>
      <c r="K177" s="9"/>
      <c r="L177"/>
      <c r="M177"/>
      <c r="Y177" s="1088"/>
      <c r="Z177" s="1079"/>
      <c r="AA177" s="1079"/>
      <c r="AB177" s="1079"/>
      <c r="AC177" s="1079"/>
      <c r="AD177" s="1079"/>
      <c r="AE177" s="1079"/>
      <c r="AF177" s="1079"/>
      <c r="AG177" s="1080"/>
    </row>
    <row r="178" spans="1:43" ht="15.65" customHeight="1" x14ac:dyDescent="0.25">
      <c r="A178"/>
      <c r="B178"/>
      <c r="C178"/>
      <c r="D178"/>
      <c r="E178" t="s">
        <v>803</v>
      </c>
      <c r="F178" t="s">
        <v>814</v>
      </c>
      <c r="G178"/>
      <c r="H178" s="227">
        <f ca="1">H273</f>
        <v>0</v>
      </c>
      <c r="I178" t="s">
        <v>90</v>
      </c>
      <c r="K178" s="9"/>
      <c r="L178"/>
      <c r="M178"/>
      <c r="Y178" s="1311"/>
      <c r="Z178" s="1079"/>
      <c r="AA178" s="1079"/>
      <c r="AB178" s="1079"/>
      <c r="AC178" s="1079"/>
      <c r="AD178" s="1079"/>
      <c r="AE178" s="1079"/>
      <c r="AF178" s="1079"/>
      <c r="AG178" s="1080"/>
    </row>
    <row r="179" spans="1:43" ht="15.65" customHeight="1" x14ac:dyDescent="0.25">
      <c r="A179"/>
      <c r="B179"/>
      <c r="C179"/>
      <c r="D179"/>
      <c r="E179" t="s">
        <v>803</v>
      </c>
      <c r="F179" t="s">
        <v>815</v>
      </c>
      <c r="G179"/>
      <c r="H179" s="227">
        <f ca="1">H274</f>
        <v>0</v>
      </c>
      <c r="I179" t="s">
        <v>90</v>
      </c>
      <c r="K179" s="9"/>
      <c r="L179"/>
      <c r="M179"/>
      <c r="Y179" s="1311"/>
      <c r="Z179" s="1079"/>
      <c r="AA179" s="1079"/>
      <c r="AB179" s="1079"/>
      <c r="AC179" s="1079"/>
      <c r="AD179" s="1079"/>
      <c r="AE179" s="1079"/>
      <c r="AF179" s="1079"/>
      <c r="AG179" s="1080"/>
    </row>
    <row r="180" spans="1:43" ht="15.65" customHeight="1" x14ac:dyDescent="0.25">
      <c r="A180"/>
      <c r="B180"/>
      <c r="C180"/>
      <c r="D180"/>
      <c r="E180" t="s">
        <v>803</v>
      </c>
      <c r="F180" t="s">
        <v>816</v>
      </c>
      <c r="G180"/>
      <c r="H180" s="227">
        <f ca="1">H275</f>
        <v>0</v>
      </c>
      <c r="I180" t="s">
        <v>90</v>
      </c>
      <c r="K180"/>
      <c r="L180"/>
      <c r="M180"/>
      <c r="Y180" s="1165"/>
      <c r="Z180" s="1079"/>
      <c r="AA180" s="1079"/>
      <c r="AB180" s="1079"/>
      <c r="AC180" s="1079"/>
      <c r="AD180" s="1079"/>
      <c r="AE180" s="1079"/>
      <c r="AF180" s="1079"/>
      <c r="AG180" s="1080"/>
    </row>
    <row r="181" spans="1:43" ht="15.65" customHeight="1" x14ac:dyDescent="0.25">
      <c r="A181"/>
      <c r="B181"/>
      <c r="C181"/>
      <c r="D181"/>
      <c r="E181" t="s">
        <v>803</v>
      </c>
      <c r="F181" t="s">
        <v>817</v>
      </c>
      <c r="G181"/>
      <c r="H181" s="227">
        <f ca="1">H276</f>
        <v>0</v>
      </c>
      <c r="I181" t="s">
        <v>90</v>
      </c>
      <c r="K181"/>
      <c r="L181"/>
      <c r="M181"/>
      <c r="Y181" s="1165"/>
      <c r="Z181" s="1079"/>
      <c r="AA181" s="1079"/>
      <c r="AB181" s="1079"/>
      <c r="AC181" s="1079"/>
      <c r="AD181" s="1079"/>
      <c r="AE181" s="1079"/>
      <c r="AF181" s="1079"/>
      <c r="AG181" s="1080"/>
    </row>
    <row r="182" spans="1:43" ht="15.65" customHeight="1" x14ac:dyDescent="0.25">
      <c r="A182"/>
      <c r="B182"/>
      <c r="C182"/>
      <c r="D182"/>
      <c r="E182" t="s">
        <v>803</v>
      </c>
      <c r="F182" t="s">
        <v>818</v>
      </c>
      <c r="G182"/>
      <c r="H182" s="227">
        <f ca="1">H277</f>
        <v>0</v>
      </c>
      <c r="I182" t="s">
        <v>90</v>
      </c>
      <c r="K182"/>
      <c r="L182"/>
      <c r="M182"/>
      <c r="Y182" s="1165"/>
      <c r="Z182" s="1079"/>
      <c r="AA182" s="1079"/>
      <c r="AB182" s="1079"/>
      <c r="AC182" s="1079"/>
      <c r="AD182" s="1079"/>
      <c r="AE182" s="1079"/>
      <c r="AF182" s="1079"/>
      <c r="AG182" s="1080"/>
    </row>
    <row r="183" spans="1:43" ht="15.65" customHeight="1" x14ac:dyDescent="0.25">
      <c r="A183"/>
      <c r="B183"/>
      <c r="C183"/>
      <c r="D183"/>
      <c r="E183" t="s">
        <v>803</v>
      </c>
      <c r="F183" t="s">
        <v>819</v>
      </c>
      <c r="G183"/>
      <c r="H183" s="227">
        <f ca="1">H281</f>
        <v>0</v>
      </c>
      <c r="I183" t="s">
        <v>90</v>
      </c>
      <c r="K183"/>
      <c r="L183"/>
      <c r="M183"/>
      <c r="Y183" s="1165"/>
      <c r="Z183" s="1079"/>
      <c r="AA183" s="1079"/>
      <c r="AB183" s="1079"/>
      <c r="AC183" s="1079"/>
      <c r="AD183" s="1079"/>
      <c r="AE183" s="1079"/>
      <c r="AF183" s="1079"/>
      <c r="AG183" s="1080"/>
    </row>
    <row r="184" spans="1:43" x14ac:dyDescent="0.25">
      <c r="A184"/>
      <c r="B184"/>
      <c r="C184"/>
      <c r="D184"/>
      <c r="E184" t="s">
        <v>803</v>
      </c>
      <c r="F184" t="s">
        <v>384</v>
      </c>
      <c r="G184"/>
      <c r="H184">
        <f ca="1">IFERROR(H272,'Hidden Lists and Summaries'!$C$158)</f>
        <v>0</v>
      </c>
      <c r="I184" t="s">
        <v>90</v>
      </c>
      <c r="K184"/>
      <c r="L184"/>
      <c r="M184"/>
      <c r="Y184" s="1088"/>
      <c r="Z184" s="1079"/>
      <c r="AA184" s="1079"/>
      <c r="AB184" s="1079"/>
      <c r="AC184" s="1079"/>
      <c r="AD184" s="1079"/>
      <c r="AE184" s="1079"/>
      <c r="AF184" s="1079"/>
      <c r="AG184" s="1080"/>
    </row>
    <row r="185" spans="1:43" ht="15.65" customHeight="1" x14ac:dyDescent="0.25">
      <c r="A185"/>
      <c r="B185"/>
      <c r="C185"/>
      <c r="D185"/>
      <c r="E185" t="s">
        <v>803</v>
      </c>
      <c r="F185" t="s">
        <v>385</v>
      </c>
      <c r="G185"/>
      <c r="H185">
        <f ca="1">IFERROR(H171-SUM(H174:H183)+H184+H173,'Hidden Lists and Summaries'!$C$158)</f>
        <v>0</v>
      </c>
      <c r="I185" t="s">
        <v>90</v>
      </c>
      <c r="K185"/>
      <c r="L185"/>
      <c r="M185"/>
      <c r="Y185" s="1165"/>
      <c r="Z185" s="1079"/>
      <c r="AA185" s="1079"/>
      <c r="AB185" s="1079"/>
      <c r="AC185" s="1079"/>
      <c r="AD185" s="1079"/>
      <c r="AE185" s="1079"/>
      <c r="AF185" s="1079"/>
      <c r="AG185" s="1080"/>
    </row>
    <row r="186" spans="1:43" ht="15.65" customHeight="1" x14ac:dyDescent="0.25">
      <c r="A186"/>
      <c r="B186"/>
      <c r="C186"/>
      <c r="D186"/>
      <c r="E186" t="s">
        <v>803</v>
      </c>
      <c r="F186" t="s">
        <v>386</v>
      </c>
      <c r="G186"/>
      <c r="H186">
        <f ca="1">IFERROR(MAX(H171-SUM(H174:H183)+H184+H173,0),'Hidden Lists and Summaries'!$C$158)</f>
        <v>0</v>
      </c>
      <c r="I186" t="s">
        <v>90</v>
      </c>
      <c r="K186"/>
      <c r="L186"/>
      <c r="M186"/>
      <c r="Y186" s="1165"/>
      <c r="Z186" s="1079"/>
      <c r="AA186" s="1079"/>
      <c r="AB186" s="1079"/>
      <c r="AC186" s="1079"/>
      <c r="AD186" s="1079"/>
      <c r="AE186" s="1079"/>
      <c r="AF186" s="1079"/>
      <c r="AG186" s="1080"/>
    </row>
    <row r="187" spans="1:43" ht="15.65" customHeight="1" x14ac:dyDescent="0.25">
      <c r="A187"/>
      <c r="B187"/>
      <c r="C187"/>
      <c r="D187"/>
      <c r="E187" t="s">
        <v>803</v>
      </c>
      <c r="F187" t="s">
        <v>387</v>
      </c>
      <c r="G187"/>
      <c r="H187">
        <f ca="1">IFERROR(H186-H185,'Hidden Lists and Summaries'!$C$158)</f>
        <v>0</v>
      </c>
      <c r="I187" t="s">
        <v>90</v>
      </c>
      <c r="L187"/>
      <c r="M187"/>
      <c r="Y187" s="1367"/>
      <c r="Z187" s="1142"/>
      <c r="AA187" s="1142"/>
      <c r="AB187" s="1142"/>
      <c r="AC187" s="1142"/>
      <c r="AD187" s="1142"/>
      <c r="AE187" s="1142"/>
      <c r="AF187" s="1142"/>
      <c r="AG187" s="1143"/>
    </row>
    <row r="188" spans="1:43" ht="15.65" customHeight="1" x14ac:dyDescent="0.25">
      <c r="A188"/>
      <c r="B188"/>
      <c r="C188"/>
      <c r="D188"/>
      <c r="E188" t="s">
        <v>803</v>
      </c>
      <c r="F188" t="s">
        <v>388</v>
      </c>
      <c r="G188"/>
      <c r="H188" t="str">
        <f ca="1">IFERROR(H186/(amm_quantityProduced_tonnes*1000),'Hidden Lists and Summaries'!$C$158)</f>
        <v>Error -  Review inputs</v>
      </c>
      <c r="I188" t="s">
        <v>808</v>
      </c>
      <c r="O188" s="1473"/>
    </row>
    <row r="189" spans="1:43" ht="15.65" customHeight="1" x14ac:dyDescent="0.25">
      <c r="A189"/>
      <c r="B189"/>
      <c r="C189"/>
      <c r="D189"/>
      <c r="E189" t="s">
        <v>803</v>
      </c>
      <c r="F189" t="s">
        <v>389</v>
      </c>
      <c r="G189"/>
      <c r="H189" s="227">
        <f ca="1">H278</f>
        <v>0</v>
      </c>
      <c r="I189" t="s">
        <v>90</v>
      </c>
      <c r="X189" s="1234"/>
      <c r="Y189" s="1234"/>
      <c r="Z189" s="1234"/>
      <c r="AA189" s="1234"/>
      <c r="AB189" s="1234"/>
      <c r="AC189" s="1234"/>
      <c r="AD189" s="1234"/>
      <c r="AE189" s="1234"/>
      <c r="AF189" s="1234"/>
      <c r="AG189" s="1234"/>
      <c r="AH189" s="1234"/>
      <c r="AI189" s="1234"/>
      <c r="AJ189" s="1234"/>
      <c r="AK189" s="1234"/>
      <c r="AL189" s="1234"/>
      <c r="AM189" s="1234"/>
      <c r="AN189" s="1234"/>
      <c r="AO189" s="1234"/>
      <c r="AP189" s="1234"/>
      <c r="AQ189" s="1234"/>
    </row>
    <row r="190" spans="1:43" ht="15.65" customHeight="1" x14ac:dyDescent="0.25">
      <c r="A190"/>
      <c r="B190"/>
      <c r="C190"/>
      <c r="D190"/>
      <c r="E190" t="s">
        <v>803</v>
      </c>
      <c r="F190" t="s">
        <v>390</v>
      </c>
      <c r="G190"/>
      <c r="H190" s="227">
        <f ca="1">H279</f>
        <v>0</v>
      </c>
      <c r="I190" t="s">
        <v>90</v>
      </c>
      <c r="X190" s="1234"/>
      <c r="Y190" s="1368"/>
      <c r="Z190" s="1368"/>
      <c r="AA190" s="1912"/>
      <c r="AB190" s="1912"/>
      <c r="AC190" s="1314"/>
      <c r="AD190" s="1369"/>
      <c r="AE190" s="1369"/>
      <c r="AF190" s="1369"/>
      <c r="AG190" s="1369"/>
      <c r="AH190" s="1369"/>
      <c r="AI190" s="1369"/>
      <c r="AJ190" s="1369"/>
      <c r="AK190" s="1369"/>
      <c r="AL190" s="1234"/>
      <c r="AM190" s="1234"/>
      <c r="AN190" s="1234"/>
      <c r="AO190" s="1234"/>
      <c r="AP190" s="1234"/>
      <c r="AQ190" s="1234"/>
    </row>
    <row r="191" spans="1:43" ht="15.65" customHeight="1" x14ac:dyDescent="0.25">
      <c r="A191"/>
      <c r="B191"/>
      <c r="C191"/>
      <c r="D191"/>
      <c r="E191" t="s">
        <v>803</v>
      </c>
      <c r="F191" t="s">
        <v>391</v>
      </c>
      <c r="G191"/>
      <c r="H191" s="227">
        <f ca="1">SUM(H189:H190)</f>
        <v>0</v>
      </c>
      <c r="I191" t="s">
        <v>90</v>
      </c>
      <c r="X191" s="1234"/>
      <c r="Y191" s="1234"/>
      <c r="Z191" s="1234"/>
      <c r="AA191" s="1912"/>
      <c r="AB191" s="1912"/>
      <c r="AC191" s="1234"/>
      <c r="AD191" s="1369"/>
      <c r="AE191" s="1369"/>
      <c r="AF191" s="1369"/>
      <c r="AG191" s="1369"/>
      <c r="AH191" s="1369"/>
      <c r="AI191" s="1369"/>
      <c r="AJ191" s="1369"/>
      <c r="AK191" s="1369"/>
      <c r="AL191" s="1234"/>
      <c r="AM191" s="1234"/>
      <c r="AN191" s="1234"/>
      <c r="AO191" s="1234"/>
      <c r="AP191" s="1234"/>
      <c r="AQ191" s="1234"/>
    </row>
    <row r="192" spans="1:43" ht="15.65" customHeight="1" x14ac:dyDescent="0.25">
      <c r="A192"/>
      <c r="B192"/>
      <c r="C192"/>
      <c r="D192"/>
      <c r="E192" t="s">
        <v>803</v>
      </c>
      <c r="F192" t="s">
        <v>392</v>
      </c>
      <c r="G192"/>
      <c r="H192" s="227" t="e">
        <f ca="1">H191/(amm_quantityProduced_tonnes*1000)</f>
        <v>#DIV/0!</v>
      </c>
      <c r="I192" t="s">
        <v>808</v>
      </c>
      <c r="X192" s="1234"/>
      <c r="Y192" s="1234"/>
      <c r="Z192" s="1234"/>
      <c r="AA192" s="1474"/>
      <c r="AB192" s="1234"/>
      <c r="AC192" s="1234"/>
      <c r="AD192" s="1234"/>
      <c r="AE192" s="1234"/>
      <c r="AF192" s="1234"/>
      <c r="AG192" s="1234"/>
      <c r="AH192" s="1234"/>
      <c r="AI192" s="1234"/>
      <c r="AJ192" s="1234"/>
      <c r="AK192" s="1234"/>
      <c r="AL192" s="1234"/>
      <c r="AM192" s="1234"/>
      <c r="AN192" s="1234"/>
      <c r="AO192" s="1234"/>
      <c r="AP192" s="1234"/>
      <c r="AQ192" s="1234"/>
    </row>
    <row r="193" spans="1:43" ht="15.65" customHeight="1" x14ac:dyDescent="0.25">
      <c r="A193"/>
      <c r="B193"/>
      <c r="C193"/>
      <c r="D193"/>
      <c r="E193" t="s">
        <v>803</v>
      </c>
      <c r="F193" t="s">
        <v>393</v>
      </c>
      <c r="G193"/>
      <c r="H193">
        <f>conditioning_transport_and_storage_losses</f>
        <v>0</v>
      </c>
      <c r="I193" t="s">
        <v>90</v>
      </c>
      <c r="X193" s="1234"/>
      <c r="Y193" s="1234"/>
      <c r="Z193" s="1234"/>
      <c r="AA193" s="1474"/>
      <c r="AB193" s="1234"/>
      <c r="AC193" s="1234"/>
      <c r="AD193" s="1234"/>
      <c r="AE193" s="1234"/>
      <c r="AF193" s="1234"/>
      <c r="AG193" s="1234"/>
      <c r="AH193" s="1234"/>
      <c r="AI193" s="1234"/>
      <c r="AJ193" s="1234"/>
      <c r="AK193" s="1234"/>
      <c r="AL193" s="1234"/>
      <c r="AM193" s="1234"/>
      <c r="AN193" s="1234"/>
      <c r="AO193" s="1234"/>
      <c r="AP193" s="1234"/>
      <c r="AQ193" s="1234"/>
    </row>
    <row r="194" spans="1:43" ht="15.65" customHeight="1" x14ac:dyDescent="0.25">
      <c r="A194"/>
      <c r="B194"/>
      <c r="C194"/>
      <c r="D194"/>
      <c r="E194" t="s">
        <v>803</v>
      </c>
      <c r="F194" t="s">
        <v>398</v>
      </c>
      <c r="G194"/>
      <c r="H194">
        <f>H203-H193</f>
        <v>0</v>
      </c>
      <c r="I194" t="s">
        <v>90</v>
      </c>
      <c r="X194" s="1234"/>
      <c r="Y194" s="1234"/>
      <c r="Z194" s="1234"/>
      <c r="AA194" s="1474"/>
      <c r="AB194" s="1234"/>
      <c r="AC194" s="1234"/>
      <c r="AD194" s="1234"/>
      <c r="AE194" s="1234"/>
      <c r="AF194" s="1234"/>
      <c r="AG194" s="1234"/>
      <c r="AH194" s="1234"/>
      <c r="AI194" s="1234"/>
      <c r="AJ194" s="1234"/>
      <c r="AK194" s="1234"/>
      <c r="AL194" s="1234"/>
      <c r="AM194" s="1234"/>
      <c r="AN194" s="1234"/>
      <c r="AO194" s="1234"/>
      <c r="AP194" s="1234"/>
      <c r="AQ194" s="1234"/>
    </row>
    <row r="195" spans="1:43" ht="15.65" customHeight="1" x14ac:dyDescent="0.25">
      <c r="A195"/>
      <c r="B195"/>
      <c r="C195"/>
      <c r="D195"/>
      <c r="E195" t="s">
        <v>803</v>
      </c>
      <c r="F195" t="s">
        <v>395</v>
      </c>
      <c r="G195"/>
      <c r="H195" t="e">
        <f ca="1">H193/(amm_quantityProduced_tonnes*1000)*SUM(H172,H192)</f>
        <v>#DIV/0!</v>
      </c>
      <c r="I195" t="s">
        <v>820</v>
      </c>
      <c r="X195" s="1234"/>
      <c r="Y195" s="1234"/>
      <c r="Z195" s="1234"/>
      <c r="AA195" s="1474"/>
      <c r="AB195" s="1234"/>
      <c r="AC195" s="1234"/>
      <c r="AD195" s="1234"/>
      <c r="AE195" s="1234"/>
      <c r="AF195" s="1234"/>
      <c r="AG195" s="1234"/>
      <c r="AH195" s="1234"/>
      <c r="AI195" s="1234"/>
      <c r="AJ195" s="1234"/>
      <c r="AK195" s="1234"/>
      <c r="AL195" s="1234"/>
      <c r="AM195" s="1234"/>
      <c r="AN195" s="1234"/>
      <c r="AO195" s="1234"/>
      <c r="AP195" s="1234"/>
      <c r="AQ195" s="1234"/>
    </row>
    <row r="196" spans="1:43" ht="15.65" customHeight="1" x14ac:dyDescent="0.25">
      <c r="A196"/>
      <c r="B196"/>
      <c r="C196"/>
      <c r="D196"/>
      <c r="E196" t="s">
        <v>803</v>
      </c>
      <c r="F196" t="s">
        <v>397</v>
      </c>
      <c r="G196"/>
      <c r="H196" t="e">
        <f ca="1">H193/(amm_quantityProduced_tonnes*1000)*SUM(amm_netEmissionsIntensity,H192)</f>
        <v>#DIV/0!</v>
      </c>
      <c r="I196" t="s">
        <v>820</v>
      </c>
      <c r="X196" s="1234"/>
      <c r="Y196" s="1234"/>
      <c r="Z196" s="1234"/>
      <c r="AA196" s="1234"/>
      <c r="AB196" s="1234"/>
      <c r="AC196" s="1234"/>
      <c r="AD196" s="1234"/>
      <c r="AE196" s="1234"/>
      <c r="AF196" s="1234"/>
      <c r="AG196" s="1234"/>
      <c r="AH196" s="1234"/>
      <c r="AI196" s="1234"/>
      <c r="AJ196" s="1234"/>
      <c r="AK196" s="1234"/>
      <c r="AL196" s="1234"/>
      <c r="AM196" s="1234"/>
      <c r="AN196" s="1234"/>
      <c r="AO196" s="1234"/>
      <c r="AP196" s="1234"/>
      <c r="AQ196" s="1234"/>
    </row>
    <row r="197" spans="1:43" ht="15.65" customHeight="1" x14ac:dyDescent="0.25">
      <c r="A197"/>
      <c r="B197"/>
      <c r="C197"/>
      <c r="D197"/>
      <c r="E197" t="s">
        <v>803</v>
      </c>
      <c r="F197" t="s">
        <v>399</v>
      </c>
      <c r="G197"/>
      <c r="H197" s="227" t="e">
        <f ca="1">SUM(H172,H192,H195)</f>
        <v>#DIV/0!</v>
      </c>
      <c r="I197" t="s">
        <v>820</v>
      </c>
      <c r="X197" s="1234"/>
      <c r="Y197" s="1234"/>
      <c r="Z197" s="1234"/>
      <c r="AA197" s="1234"/>
      <c r="AB197" s="1234"/>
      <c r="AC197" s="1234"/>
      <c r="AD197" s="1234"/>
      <c r="AE197" s="1234"/>
      <c r="AF197" s="1234"/>
      <c r="AG197" s="1234"/>
      <c r="AH197" s="1234"/>
      <c r="AI197" s="1234"/>
      <c r="AJ197" s="1234"/>
      <c r="AK197" s="1234"/>
      <c r="AL197" s="1234"/>
      <c r="AM197" s="1234"/>
      <c r="AN197" s="1234"/>
      <c r="AO197" s="1234"/>
      <c r="AP197" s="1234"/>
      <c r="AQ197" s="1234"/>
    </row>
    <row r="198" spans="1:43" ht="15.65" customHeight="1" x14ac:dyDescent="0.25">
      <c r="A198"/>
      <c r="B198"/>
      <c r="C198"/>
      <c r="D198"/>
      <c r="E198" t="s">
        <v>803</v>
      </c>
      <c r="F198" t="s">
        <v>400</v>
      </c>
      <c r="G198"/>
      <c r="H198" s="227" t="e">
        <f ca="1">SUM(amm_netEmissionsIntensity,H192,H196)</f>
        <v>#DIV/0!</v>
      </c>
      <c r="I198" t="s">
        <v>820</v>
      </c>
      <c r="X198" s="1234"/>
      <c r="Y198" s="1234"/>
      <c r="Z198" s="1234"/>
      <c r="AA198" s="1234"/>
      <c r="AB198" s="1234"/>
      <c r="AC198" s="1234"/>
      <c r="AD198" s="1234"/>
      <c r="AE198" s="1234"/>
      <c r="AF198" s="1234"/>
      <c r="AG198" s="1234"/>
      <c r="AH198" s="1234"/>
      <c r="AI198" s="1234"/>
      <c r="AJ198" s="1234"/>
      <c r="AK198" s="1234"/>
      <c r="AL198" s="1234"/>
      <c r="AM198" s="1234"/>
      <c r="AN198" s="1234"/>
      <c r="AO198" s="1234"/>
      <c r="AP198" s="1234"/>
      <c r="AQ198" s="1234"/>
    </row>
    <row r="199" spans="1:43" ht="15.65" customHeight="1" x14ac:dyDescent="0.25">
      <c r="A199"/>
      <c r="B199"/>
      <c r="C199"/>
      <c r="D199"/>
      <c r="E199" t="s">
        <v>803</v>
      </c>
      <c r="F199" t="s">
        <v>401</v>
      </c>
      <c r="G199"/>
      <c r="H199">
        <f>iq_name</f>
        <v>0</v>
      </c>
      <c r="I199"/>
      <c r="X199" s="1234"/>
      <c r="Y199" s="1912"/>
      <c r="Z199" s="1912"/>
      <c r="AA199" s="1234"/>
      <c r="AB199" s="1314"/>
      <c r="AC199" s="1315"/>
      <c r="AD199" s="1234"/>
      <c r="AE199" s="1234"/>
      <c r="AF199" s="1234"/>
      <c r="AG199" s="1234"/>
      <c r="AH199" s="1234"/>
      <c r="AI199" s="1234"/>
      <c r="AJ199" s="1234"/>
      <c r="AK199" s="1234"/>
      <c r="AL199" s="1234"/>
      <c r="AM199" s="1234"/>
      <c r="AN199" s="1234"/>
      <c r="AO199" s="1234"/>
      <c r="AP199" s="1234"/>
      <c r="AQ199" s="1234"/>
    </row>
    <row r="200" spans="1:43" ht="15.65" customHeight="1" x14ac:dyDescent="0.25">
      <c r="A200"/>
      <c r="B200"/>
      <c r="C200"/>
      <c r="D200"/>
      <c r="E200" t="s">
        <v>803</v>
      </c>
      <c r="F200" t="s">
        <v>402</v>
      </c>
      <c r="G200"/>
      <c r="H200">
        <f>iq_location</f>
        <v>0</v>
      </c>
      <c r="I200"/>
      <c r="X200" s="1234"/>
      <c r="Y200" s="1368"/>
      <c r="Z200" s="1368"/>
      <c r="AA200" s="1912"/>
      <c r="AB200" s="1912"/>
      <c r="AC200" s="1315"/>
      <c r="AD200" s="1234"/>
      <c r="AE200" s="1234"/>
      <c r="AF200" s="1234"/>
      <c r="AG200" s="1234"/>
      <c r="AH200" s="1234"/>
      <c r="AI200" s="1234"/>
      <c r="AJ200" s="1234"/>
      <c r="AK200" s="1234"/>
      <c r="AL200" s="1234"/>
      <c r="AM200" s="1234"/>
      <c r="AN200" s="1234"/>
      <c r="AO200" s="1234"/>
      <c r="AP200" s="1234"/>
      <c r="AQ200" s="1234"/>
    </row>
    <row r="201" spans="1:43" x14ac:dyDescent="0.25">
      <c r="A201"/>
      <c r="B201"/>
      <c r="C201"/>
      <c r="D201"/>
      <c r="E201" t="s">
        <v>803</v>
      </c>
      <c r="F201" t="s">
        <v>403</v>
      </c>
      <c r="G201"/>
      <c r="H201">
        <f>amm_annual_capacity_tonnes</f>
        <v>0</v>
      </c>
      <c r="I201" t="s">
        <v>821</v>
      </c>
      <c r="X201" s="1234"/>
      <c r="Y201" s="1368"/>
      <c r="Z201" s="1368"/>
      <c r="AA201" s="1912"/>
      <c r="AB201" s="1912"/>
      <c r="AC201" s="1314"/>
      <c r="AD201" s="1369"/>
      <c r="AE201" s="1369"/>
      <c r="AF201" s="1369"/>
      <c r="AG201" s="1369"/>
      <c r="AH201" s="1369"/>
      <c r="AI201" s="1369"/>
      <c r="AJ201" s="1369"/>
      <c r="AK201" s="1369"/>
      <c r="AL201" s="1234"/>
      <c r="AM201" s="1234"/>
      <c r="AN201" s="1234"/>
      <c r="AO201" s="1234"/>
      <c r="AP201" s="1234"/>
      <c r="AQ201" s="1234"/>
    </row>
    <row r="202" spans="1:43" x14ac:dyDescent="0.25">
      <c r="A202"/>
      <c r="B202"/>
      <c r="C202"/>
      <c r="D202"/>
      <c r="E202" t="s">
        <v>803</v>
      </c>
      <c r="F202" t="s">
        <v>405</v>
      </c>
      <c r="G202"/>
      <c r="H202">
        <f>iq_commencement</f>
        <v>0</v>
      </c>
      <c r="I202"/>
      <c r="X202" s="1234"/>
      <c r="Y202" s="1368"/>
      <c r="Z202" s="1368"/>
      <c r="AA202" s="1912"/>
      <c r="AB202" s="1912"/>
      <c r="AC202" s="1234"/>
      <c r="AD202" s="1369"/>
      <c r="AE202" s="1369"/>
      <c r="AF202" s="1369"/>
      <c r="AG202" s="1369"/>
      <c r="AH202" s="1369"/>
      <c r="AI202" s="1369"/>
      <c r="AJ202" s="1369"/>
      <c r="AK202" s="1369"/>
      <c r="AL202" s="1234"/>
      <c r="AM202" s="1234"/>
      <c r="AN202" s="1234"/>
      <c r="AO202" s="1234"/>
      <c r="AP202" s="1234"/>
      <c r="AQ202" s="1234"/>
    </row>
    <row r="203" spans="1:43" x14ac:dyDescent="0.25">
      <c r="A203"/>
      <c r="B203"/>
      <c r="C203"/>
      <c r="D203"/>
      <c r="E203" t="s">
        <v>803</v>
      </c>
      <c r="F203" t="s">
        <v>822</v>
      </c>
      <c r="G203"/>
      <c r="H203">
        <f>amm_quantityProduced_tonnes*1000</f>
        <v>0</v>
      </c>
      <c r="I203" t="s">
        <v>90</v>
      </c>
      <c r="X203" s="1234"/>
      <c r="Y203" s="1912"/>
      <c r="Z203" s="1912"/>
      <c r="AA203" s="1234"/>
      <c r="AB203" s="1314"/>
      <c r="AC203" s="1315"/>
      <c r="AD203" s="1369"/>
      <c r="AE203" s="1369"/>
      <c r="AF203" s="1369"/>
      <c r="AG203" s="1369"/>
      <c r="AH203" s="1369"/>
      <c r="AI203" s="1369"/>
      <c r="AJ203" s="1369"/>
      <c r="AK203" s="1369"/>
      <c r="AL203" s="1234"/>
      <c r="AM203" s="1234"/>
      <c r="AN203" s="1234"/>
      <c r="AO203" s="1234"/>
      <c r="AP203" s="1234"/>
      <c r="AQ203" s="1234"/>
    </row>
    <row r="204" spans="1:43" x14ac:dyDescent="0.25">
      <c r="A204"/>
      <c r="B204"/>
      <c r="C204"/>
      <c r="D204"/>
      <c r="E204" t="s">
        <v>803</v>
      </c>
      <c r="F204" t="s">
        <v>823</v>
      </c>
      <c r="G204"/>
      <c r="H204">
        <f>E24</f>
        <v>0</v>
      </c>
      <c r="I204"/>
      <c r="X204" s="1234"/>
      <c r="Y204" s="1912"/>
      <c r="Z204" s="1912"/>
      <c r="AA204" s="1234"/>
      <c r="AB204" s="1314"/>
      <c r="AC204" s="1315"/>
      <c r="AD204" s="1369"/>
      <c r="AE204" s="1369"/>
      <c r="AF204" s="1369"/>
      <c r="AG204" s="1369"/>
      <c r="AH204" s="1369"/>
      <c r="AI204" s="1369"/>
      <c r="AJ204" s="1369"/>
      <c r="AK204" s="1369"/>
      <c r="AL204" s="1234"/>
      <c r="AM204" s="1234"/>
      <c r="AN204" s="1234"/>
      <c r="AO204" s="1234"/>
      <c r="AP204" s="1234"/>
      <c r="AQ204" s="1234"/>
    </row>
    <row r="205" spans="1:43" x14ac:dyDescent="0.25">
      <c r="A205"/>
      <c r="B205"/>
      <c r="C205"/>
      <c r="D205"/>
      <c r="E205" t="s">
        <v>803</v>
      </c>
      <c r="F205" t="s">
        <v>188</v>
      </c>
      <c r="G205"/>
      <c r="H205">
        <f>E25</f>
        <v>0</v>
      </c>
      <c r="I205" t="s">
        <v>409</v>
      </c>
      <c r="X205" s="1234"/>
      <c r="Y205" s="1234"/>
      <c r="Z205" s="1234"/>
      <c r="AA205" s="1234"/>
      <c r="AB205" s="1314"/>
      <c r="AC205" s="1234"/>
      <c r="AD205" s="1369"/>
      <c r="AE205" s="1369"/>
      <c r="AF205" s="1369"/>
      <c r="AG205" s="1369"/>
      <c r="AH205" s="1369"/>
      <c r="AI205" s="1369"/>
      <c r="AJ205" s="1369"/>
      <c r="AK205" s="1369"/>
      <c r="AL205" s="1234"/>
      <c r="AM205" s="1234"/>
      <c r="AN205" s="1234"/>
      <c r="AO205" s="1234"/>
      <c r="AP205" s="1234"/>
      <c r="AQ205" s="1234"/>
    </row>
    <row r="206" spans="1:43" s="1164" customFormat="1" x14ac:dyDescent="0.25">
      <c r="A206"/>
      <c r="B206"/>
      <c r="C206"/>
      <c r="D206"/>
      <c r="E206" t="s">
        <v>803</v>
      </c>
      <c r="F206" t="s">
        <v>410</v>
      </c>
      <c r="G206"/>
      <c r="H206">
        <f>E26</f>
        <v>0</v>
      </c>
      <c r="I206"/>
      <c r="X206" s="1234"/>
      <c r="Y206" s="1234"/>
      <c r="Z206" s="1234"/>
      <c r="AA206" s="1234"/>
      <c r="AB206" s="1234"/>
      <c r="AC206" s="1234"/>
      <c r="AD206" s="1234"/>
      <c r="AE206" s="1234"/>
      <c r="AF206" s="1234"/>
      <c r="AG206" s="1234"/>
      <c r="AH206" s="1234"/>
      <c r="AI206" s="1234"/>
      <c r="AJ206" s="1234"/>
      <c r="AK206" s="1234"/>
      <c r="AL206" s="1234"/>
      <c r="AM206" s="1234"/>
      <c r="AN206" s="1234"/>
      <c r="AO206" s="1234"/>
      <c r="AP206" s="1234"/>
      <c r="AQ206" s="1234"/>
    </row>
    <row r="207" spans="1:43" x14ac:dyDescent="0.25">
      <c r="A207"/>
      <c r="B207"/>
      <c r="C207"/>
      <c r="D207"/>
      <c r="E207" t="s">
        <v>803</v>
      </c>
      <c r="F207" t="s">
        <v>411</v>
      </c>
      <c r="G207"/>
      <c r="H207" s="230">
        <f>iq_batchBegins</f>
        <v>0</v>
      </c>
      <c r="I207"/>
      <c r="X207" s="1234"/>
      <c r="Y207" s="1234"/>
      <c r="Z207" s="1234"/>
      <c r="AA207" s="1234"/>
      <c r="AB207" s="1234"/>
      <c r="AC207" s="1234"/>
      <c r="AD207" s="1234"/>
      <c r="AE207" s="1234"/>
      <c r="AF207" s="1234"/>
      <c r="AG207" s="1234"/>
      <c r="AH207" s="1234"/>
      <c r="AI207" s="1234"/>
      <c r="AJ207" s="1234"/>
      <c r="AK207" s="1234"/>
      <c r="AL207" s="1234"/>
      <c r="AM207" s="1234"/>
      <c r="AN207" s="1234"/>
      <c r="AO207" s="1234"/>
      <c r="AP207" s="1234"/>
      <c r="AQ207" s="1234"/>
    </row>
    <row r="208" spans="1:43" x14ac:dyDescent="0.25">
      <c r="A208"/>
      <c r="B208"/>
      <c r="C208"/>
      <c r="D208"/>
      <c r="E208" t="s">
        <v>803</v>
      </c>
      <c r="F208" t="s">
        <v>412</v>
      </c>
      <c r="G208"/>
      <c r="H208" s="230">
        <f>iq_batchEnd</f>
        <v>0</v>
      </c>
      <c r="I208"/>
      <c r="X208" s="1234"/>
      <c r="Y208" s="1234"/>
      <c r="Z208" s="1234"/>
      <c r="AA208" s="1234"/>
      <c r="AB208" s="1234"/>
      <c r="AC208" s="1234"/>
      <c r="AD208" s="1234"/>
      <c r="AE208" s="1234"/>
      <c r="AF208" s="1234"/>
      <c r="AG208" s="1234"/>
      <c r="AH208" s="1234"/>
      <c r="AI208" s="1234"/>
      <c r="AJ208" s="1234"/>
      <c r="AK208" s="1234"/>
      <c r="AL208" s="1234"/>
      <c r="AM208" s="1234"/>
      <c r="AN208" s="1234"/>
      <c r="AO208" s="1234"/>
      <c r="AP208" s="1234"/>
      <c r="AQ208" s="1234"/>
    </row>
    <row r="209" spans="1:43" x14ac:dyDescent="0.25">
      <c r="A209"/>
      <c r="B209"/>
      <c r="C209"/>
      <c r="D209"/>
      <c r="E209" t="s">
        <v>803</v>
      </c>
      <c r="F209" t="s">
        <v>413</v>
      </c>
      <c r="G209"/>
      <c r="H209">
        <f>amm_quantityProduced_tonnes</f>
        <v>0</v>
      </c>
      <c r="I209" t="s">
        <v>183</v>
      </c>
      <c r="X209" s="1234"/>
      <c r="Y209" s="1234"/>
      <c r="Z209" s="1234"/>
      <c r="AA209" s="1234"/>
      <c r="AB209" s="1234"/>
      <c r="AC209" s="1234"/>
      <c r="AD209" s="1234"/>
      <c r="AE209" s="1234"/>
      <c r="AF209" s="1234"/>
      <c r="AG209" s="1234"/>
      <c r="AH209" s="1234"/>
      <c r="AI209" s="1234"/>
      <c r="AJ209" s="1234"/>
      <c r="AK209" s="1234"/>
      <c r="AL209" s="1234"/>
      <c r="AM209" s="1234"/>
      <c r="AN209" s="1234"/>
      <c r="AO209" s="1234"/>
      <c r="AP209" s="1234"/>
      <c r="AQ209" s="1234"/>
    </row>
    <row r="210" spans="1:43" ht="15" customHeight="1" x14ac:dyDescent="0.25">
      <c r="A210"/>
      <c r="B210"/>
      <c r="C210"/>
      <c r="D210"/>
      <c r="E210" t="s">
        <v>803</v>
      </c>
      <c r="F210" t="s">
        <v>414</v>
      </c>
      <c r="G210"/>
      <c r="H210" cm="1">
        <f t="array" aca="1" ref="H210" ca="1">overall_totalImportedElectricity*VLOOKUP(_xlfn.TEXTAFTER(CELL("filename",$A$1),"]"),ElectricityPortionsByPathwayTable[],2,FALSE)</f>
        <v>0</v>
      </c>
      <c r="I210" t="s">
        <v>415</v>
      </c>
      <c r="X210" s="1234"/>
      <c r="Y210" s="1234"/>
      <c r="Z210" s="1234"/>
      <c r="AA210" s="1234"/>
      <c r="AB210" s="1234"/>
      <c r="AC210" s="1234"/>
      <c r="AD210" s="1234"/>
      <c r="AE210" s="1234"/>
      <c r="AF210" s="1234"/>
      <c r="AG210" s="1234"/>
      <c r="AH210" s="1234"/>
      <c r="AI210" s="1234"/>
      <c r="AJ210" s="1234"/>
      <c r="AK210" s="1234"/>
      <c r="AL210" s="1234"/>
      <c r="AM210" s="1234"/>
      <c r="AN210" s="1234"/>
      <c r="AO210" s="1234"/>
      <c r="AP210" s="1234"/>
      <c r="AQ210" s="1234"/>
    </row>
    <row r="211" spans="1:43" ht="15" customHeight="1" x14ac:dyDescent="0.25">
      <c r="A211"/>
      <c r="B211"/>
      <c r="C211"/>
      <c r="D211"/>
      <c r="E211" t="s">
        <v>803</v>
      </c>
      <c r="F211" t="s">
        <v>416</v>
      </c>
      <c r="G211"/>
      <c r="H211" t="e">
        <f>overall_LocationEF</f>
        <v>#N/A</v>
      </c>
      <c r="I211" t="s">
        <v>569</v>
      </c>
      <c r="X211" s="1234"/>
      <c r="Y211" s="1234"/>
      <c r="Z211" s="1234"/>
      <c r="AA211" s="1234"/>
      <c r="AB211" s="1234"/>
      <c r="AC211" s="1234"/>
      <c r="AD211" s="1234"/>
      <c r="AE211" s="1234"/>
      <c r="AF211" s="1234"/>
      <c r="AG211" s="1234"/>
      <c r="AH211" s="1234"/>
      <c r="AI211" s="1234"/>
      <c r="AJ211" s="1234"/>
      <c r="AK211" s="1234"/>
      <c r="AL211" s="1234"/>
      <c r="AM211" s="1234"/>
      <c r="AN211" s="1234"/>
      <c r="AO211" s="1234"/>
      <c r="AP211" s="1234"/>
      <c r="AQ211" s="1234"/>
    </row>
    <row r="212" spans="1:43" x14ac:dyDescent="0.25">
      <c r="A212"/>
      <c r="B212"/>
      <c r="C212"/>
      <c r="D212"/>
      <c r="E212" t="s">
        <v>803</v>
      </c>
      <c r="F212" t="s">
        <v>414</v>
      </c>
      <c r="G212"/>
      <c r="H212" cm="1">
        <f t="array" aca="1" ref="H212" ca="1">overall_totalImportedElectricity*VLOOKUP(_xlfn.TEXTAFTER(CELL("filename",$A$1),"]"),ElectricityPortionsByPathwayTable[],2,FALSE)</f>
        <v>0</v>
      </c>
      <c r="I212" t="s">
        <v>415</v>
      </c>
      <c r="X212" s="1234"/>
      <c r="Y212" s="1234"/>
      <c r="Z212" s="1234"/>
      <c r="AA212" s="1234"/>
      <c r="AB212" s="1234"/>
      <c r="AC212" s="1234"/>
      <c r="AD212" s="1234"/>
      <c r="AE212" s="1234"/>
      <c r="AF212" s="1234"/>
      <c r="AG212" s="1234"/>
      <c r="AH212" s="1234"/>
      <c r="AI212" s="1234"/>
      <c r="AJ212" s="1234"/>
      <c r="AK212" s="1234"/>
      <c r="AL212" s="1234"/>
      <c r="AM212" s="1234"/>
      <c r="AN212" s="1234"/>
      <c r="AO212" s="1234"/>
      <c r="AP212" s="1234"/>
      <c r="AQ212" s="1234"/>
    </row>
    <row r="213" spans="1:43" x14ac:dyDescent="0.25">
      <c r="A213"/>
      <c r="B213"/>
      <c r="C213"/>
      <c r="D213"/>
      <c r="E213" t="s">
        <v>803</v>
      </c>
      <c r="F213" t="s">
        <v>98</v>
      </c>
      <c r="G213"/>
      <c r="H213" cm="1">
        <f t="array" aca="1" ref="H213" ca="1">'Electricity Usage'!$S22*VLOOKUP(_xlfn.TEXTAFTER(CELL("filename",$A$1),"]"),ElectricityPortionsByPathwayTable[],2,FALSE)</f>
        <v>0</v>
      </c>
      <c r="I213" t="s">
        <v>415</v>
      </c>
      <c r="X213" s="1234"/>
      <c r="Y213" s="1913"/>
      <c r="Z213" s="1913"/>
      <c r="AA213" s="1234"/>
      <c r="AB213" s="1314"/>
      <c r="AC213" s="1315"/>
      <c r="AD213" s="1234"/>
      <c r="AE213" s="1234"/>
      <c r="AF213" s="1234"/>
      <c r="AG213" s="1234"/>
      <c r="AH213" s="1234"/>
      <c r="AI213" s="1234"/>
      <c r="AJ213" s="1234"/>
      <c r="AK213" s="1234"/>
      <c r="AL213" s="1234"/>
      <c r="AM213" s="1234"/>
      <c r="AN213" s="1234"/>
      <c r="AO213" s="1234"/>
      <c r="AP213" s="1234"/>
      <c r="AQ213" s="1234"/>
    </row>
    <row r="214" spans="1:43" x14ac:dyDescent="0.25">
      <c r="A214"/>
      <c r="B214"/>
      <c r="C214"/>
      <c r="D214"/>
      <c r="E214" t="s">
        <v>803</v>
      </c>
      <c r="F214" t="s">
        <v>99</v>
      </c>
      <c r="G214"/>
      <c r="H214" cm="1">
        <f t="array" aca="1" ref="H214" ca="1">'Electricity Usage'!$S23*VLOOKUP(_xlfn.TEXTAFTER(CELL("filename",$A$1),"]"),ElectricityPortionsByPathwayTable[],2,FALSE)</f>
        <v>0</v>
      </c>
      <c r="I214" t="s">
        <v>415</v>
      </c>
      <c r="X214" s="1234"/>
      <c r="Y214" s="1913"/>
      <c r="Z214" s="1913"/>
      <c r="AA214" s="1234"/>
      <c r="AB214" s="1314"/>
      <c r="AC214" s="1315"/>
      <c r="AD214" s="1234"/>
      <c r="AE214" s="1234"/>
      <c r="AF214" s="1234"/>
      <c r="AG214" s="1234"/>
      <c r="AH214" s="1234"/>
      <c r="AI214" s="1234"/>
      <c r="AJ214" s="1234"/>
      <c r="AK214" s="1234"/>
      <c r="AL214" s="1234"/>
      <c r="AM214" s="1234"/>
      <c r="AN214" s="1234"/>
      <c r="AO214" s="1234"/>
      <c r="AP214" s="1234"/>
      <c r="AQ214" s="1234"/>
    </row>
    <row r="215" spans="1:43" x14ac:dyDescent="0.25">
      <c r="A215"/>
      <c r="B215"/>
      <c r="C215"/>
      <c r="D215"/>
      <c r="E215" t="s">
        <v>803</v>
      </c>
      <c r="F215" t="s">
        <v>100</v>
      </c>
      <c r="G215"/>
      <c r="H215" cm="1">
        <f t="array" aca="1" ref="H215" ca="1">'Electricity Usage'!$S24*VLOOKUP(_xlfn.TEXTAFTER(CELL("filename",$A$1),"]"),ElectricityPortionsByPathwayTable[],2,FALSE)</f>
        <v>0</v>
      </c>
      <c r="I215" t="s">
        <v>415</v>
      </c>
      <c r="X215" s="1234"/>
      <c r="Y215" s="1234"/>
      <c r="Z215" s="1234"/>
      <c r="AA215" s="1234"/>
      <c r="AB215" s="1234"/>
      <c r="AC215" s="1234"/>
      <c r="AD215" s="1234"/>
      <c r="AE215" s="1234"/>
      <c r="AF215" s="1234"/>
      <c r="AG215" s="1234"/>
      <c r="AH215" s="1234"/>
      <c r="AI215" s="1234"/>
      <c r="AJ215" s="1234"/>
      <c r="AK215" s="1234"/>
      <c r="AL215" s="1234"/>
      <c r="AM215" s="1234"/>
      <c r="AN215" s="1234"/>
      <c r="AO215" s="1234"/>
      <c r="AP215" s="1234"/>
      <c r="AQ215" s="1234"/>
    </row>
    <row r="216" spans="1:43" s="1164" customFormat="1" x14ac:dyDescent="0.25">
      <c r="A216"/>
      <c r="B216"/>
      <c r="C216"/>
      <c r="D216"/>
      <c r="E216" t="s">
        <v>803</v>
      </c>
      <c r="F216" t="s">
        <v>101</v>
      </c>
      <c r="G216"/>
      <c r="H216" cm="1">
        <f t="array" aca="1" ref="H216" ca="1">'Electricity Usage'!$S25*VLOOKUP(_xlfn.TEXTAFTER(CELL("filename",$A$1),"]"),ElectricityPortionsByPathwayTable[],2,FALSE)</f>
        <v>0</v>
      </c>
      <c r="I216" t="s">
        <v>415</v>
      </c>
      <c r="X216" s="1234"/>
      <c r="Y216" s="1234"/>
      <c r="Z216" s="1234"/>
      <c r="AA216" s="1234"/>
      <c r="AB216" s="1234"/>
      <c r="AC216" s="1234"/>
      <c r="AD216" s="1234"/>
      <c r="AE216" s="1234"/>
      <c r="AF216" s="1234"/>
      <c r="AG216" s="1234"/>
      <c r="AH216" s="1234"/>
      <c r="AI216" s="1234"/>
      <c r="AJ216" s="1234"/>
      <c r="AK216" s="1234"/>
      <c r="AL216" s="1234"/>
      <c r="AM216" s="1234"/>
      <c r="AN216" s="1234"/>
      <c r="AO216" s="1234"/>
      <c r="AP216" s="1234"/>
      <c r="AQ216" s="1234"/>
    </row>
    <row r="217" spans="1:43" x14ac:dyDescent="0.25">
      <c r="A217"/>
      <c r="B217"/>
      <c r="C217"/>
      <c r="D217"/>
      <c r="E217" t="s">
        <v>803</v>
      </c>
      <c r="F217" t="s">
        <v>418</v>
      </c>
      <c r="G217"/>
      <c r="H217" cm="1">
        <f t="array" aca="1" ref="H217" ca="1">overall_residualElectricity*VLOOKUP(_xlfn.TEXTAFTER(CELL("filename",A22),"]"),ElectricityPortionsByPathwayTable[],2,FALSE)</f>
        <v>0</v>
      </c>
      <c r="I217" t="s">
        <v>415</v>
      </c>
      <c r="Y217" s="1164"/>
      <c r="Z217" s="1164"/>
      <c r="AA217" s="1164"/>
      <c r="AB217" s="1164"/>
      <c r="AC217" s="1164"/>
      <c r="AD217" s="1164"/>
      <c r="AE217" s="1164"/>
      <c r="AF217" s="1164"/>
      <c r="AG217" s="1164"/>
      <c r="AH217" s="1164"/>
      <c r="AI217" s="1164"/>
      <c r="AJ217" s="1164"/>
      <c r="AK217" s="1164"/>
      <c r="AL217" s="1164"/>
      <c r="AM217" s="1164"/>
      <c r="AN217" s="1164"/>
      <c r="AO217" s="1164"/>
      <c r="AP217" s="1164"/>
      <c r="AQ217" s="1164"/>
    </row>
    <row r="218" spans="1:43" x14ac:dyDescent="0.25">
      <c r="A218"/>
      <c r="B218"/>
      <c r="C218"/>
      <c r="D218"/>
      <c r="E218" t="s">
        <v>803</v>
      </c>
      <c r="F218" t="s">
        <v>419</v>
      </c>
      <c r="G218"/>
      <c r="H218">
        <f>overall_MarketEF</f>
        <v>0.95499999999999996</v>
      </c>
      <c r="I218" t="s">
        <v>824</v>
      </c>
    </row>
    <row r="219" spans="1:43" x14ac:dyDescent="0.25">
      <c r="A219"/>
      <c r="B219"/>
      <c r="C219"/>
      <c r="D219"/>
      <c r="E219" t="s">
        <v>803</v>
      </c>
      <c r="F219" t="s">
        <v>420</v>
      </c>
      <c r="G219"/>
      <c r="H219" cm="1">
        <f t="array" aca="1" ref="H219" ca="1">overall_totalOnsiteElecGen*VLOOKUP(_xlfn.TEXTAFTER(CELL("filename",$A$1),"]"),ElectricityPortionsByPathwayTable[],2,FALSE)</f>
        <v>0</v>
      </c>
      <c r="I219" t="s">
        <v>415</v>
      </c>
    </row>
    <row r="220" spans="1:43" x14ac:dyDescent="0.25">
      <c r="A220"/>
      <c r="B220"/>
      <c r="C220"/>
      <c r="D220"/>
      <c r="E220" t="s">
        <v>803</v>
      </c>
      <c r="F220" t="s">
        <v>421</v>
      </c>
      <c r="G220"/>
      <c r="H220" t="e">
        <f>overall_onsiteGenEF</f>
        <v>#DIV/0!</v>
      </c>
      <c r="I220" t="s">
        <v>825</v>
      </c>
      <c r="J220"/>
    </row>
    <row r="221" spans="1:43" x14ac:dyDescent="0.25">
      <c r="A221"/>
      <c r="B221"/>
      <c r="C221"/>
      <c r="D221"/>
      <c r="E221" t="s">
        <v>803</v>
      </c>
      <c r="F221" t="s">
        <v>434</v>
      </c>
      <c r="G221">
        <f>'Electricity Usage'!$E$51</f>
        <v>0</v>
      </c>
      <c r="H221" t="str" cm="1">
        <f t="array" aca="1" ref="H221" ca="1">IF(_xlfn.ANCHORARRAY(G221)&lt;&gt;0,overall_CHPFuelElecAllocation*VLOOKUP(_xlfn.TEXTAFTER(CELL("filename",$A$1),"]"),ElectricityPortionsByPathwayTable[],3,FALSE) + overall_CHPFuelSteamAllocation *VLOOKUP(_xlfn.TEXTAFTER(CELL("filename",$A$1),"]"),ElectricityPortionsByPathwayTable[],4,FALSE),"")</f>
        <v/>
      </c>
      <c r="I221" t="str" cm="1">
        <f t="array" ref="I221">IF(_xlfn.ANCHORARRAY(G221)&lt;&gt;0,('Electricity Usage'!$S$51)*'Electricity Usage'!$T$51/1000,"")</f>
        <v/>
      </c>
      <c r="J221"/>
    </row>
    <row r="222" spans="1:43" x14ac:dyDescent="0.25">
      <c r="A222"/>
      <c r="B222"/>
      <c r="C222"/>
      <c r="D222"/>
      <c r="E222" t="s">
        <v>803</v>
      </c>
      <c r="F222" t="s">
        <v>435</v>
      </c>
      <c r="G222">
        <f>'Electricity Usage'!$E$38</f>
        <v>0</v>
      </c>
      <c r="H222" t="str" cm="1">
        <f t="array" aca="1" ref="H222" ca="1">IF(_xlfn.ANCHORARRAY(G222)&lt;&gt;0,overall_otherOnsiteElecGenViaCombustionFuelAmount*VLOOKUP(_xlfn.TEXTAFTER(CELL("filename",$A$1),"]"),ElectricityPortionsByPathwayTable[],3,FALSE),"")</f>
        <v/>
      </c>
      <c r="I222" t="str" cm="1">
        <f t="array" ref="I222">IF(_xlfn.ANCHORARRAY(G222)&lt;&gt;0,('Electricity Usage'!$S$38)*'Electricity Usage'!$T$38/1000,"")</f>
        <v/>
      </c>
      <c r="J222"/>
      <c r="Z222" s="1316"/>
      <c r="AA222" s="1316"/>
    </row>
    <row r="223" spans="1:43" x14ac:dyDescent="0.25">
      <c r="A223"/>
      <c r="B223"/>
      <c r="C223"/>
      <c r="D223"/>
      <c r="E223" t="s">
        <v>803</v>
      </c>
      <c r="F223" t="s">
        <v>436</v>
      </c>
      <c r="G223">
        <f>F87</f>
        <v>0</v>
      </c>
      <c r="H223" s="227" t="e">
        <f>AB87*1000</f>
        <v>#N/A</v>
      </c>
      <c r="I223" t="e">
        <f>(Y87)*Z87/1000</f>
        <v>#VALUE!</v>
      </c>
      <c r="J223"/>
      <c r="Y223" s="1164"/>
      <c r="Z223" s="1164"/>
      <c r="AA223" s="1164"/>
      <c r="AB223" s="1164"/>
      <c r="AC223" s="1164"/>
      <c r="AD223" s="1164"/>
      <c r="AE223" s="1164"/>
      <c r="AF223" s="1164"/>
      <c r="AG223" s="1164"/>
      <c r="AH223" s="1164"/>
      <c r="AI223" s="1164"/>
      <c r="AJ223" s="1164"/>
      <c r="AK223" s="1164"/>
      <c r="AL223" s="1164"/>
      <c r="AM223" s="1164"/>
      <c r="AN223" s="1164"/>
      <c r="AO223" s="1164"/>
      <c r="AP223" s="1164"/>
      <c r="AQ223" s="1164"/>
    </row>
    <row r="224" spans="1:43" x14ac:dyDescent="0.25">
      <c r="A224"/>
      <c r="B224"/>
      <c r="C224"/>
      <c r="D224"/>
      <c r="E224" t="s">
        <v>803</v>
      </c>
      <c r="F224" t="s">
        <v>437</v>
      </c>
      <c r="G224">
        <f>F88</f>
        <v>0</v>
      </c>
      <c r="H224" s="227" t="e">
        <f>AB88*1000</f>
        <v>#N/A</v>
      </c>
      <c r="I224" t="e">
        <f t="shared" ref="I224:I227" si="9">(Y88)*Z88/1000</f>
        <v>#VALUE!</v>
      </c>
      <c r="J224"/>
    </row>
    <row r="225" spans="1:43" x14ac:dyDescent="0.25">
      <c r="A225"/>
      <c r="B225"/>
      <c r="C225"/>
      <c r="D225"/>
      <c r="E225" t="s">
        <v>803</v>
      </c>
      <c r="F225" t="s">
        <v>438</v>
      </c>
      <c r="G225">
        <f>F89</f>
        <v>0</v>
      </c>
      <c r="H225" s="227" t="e">
        <f>AB89*1000</f>
        <v>#N/A</v>
      </c>
      <c r="I225" t="e">
        <f t="shared" si="9"/>
        <v>#VALUE!</v>
      </c>
      <c r="J225"/>
    </row>
    <row r="226" spans="1:43" x14ac:dyDescent="0.25">
      <c r="A226"/>
      <c r="B226"/>
      <c r="C226"/>
      <c r="D226"/>
      <c r="E226" t="s">
        <v>803</v>
      </c>
      <c r="F226" t="s">
        <v>439</v>
      </c>
      <c r="G226">
        <f>F90</f>
        <v>0</v>
      </c>
      <c r="H226" s="227" t="e">
        <f>AB90*1000</f>
        <v>#N/A</v>
      </c>
      <c r="I226" t="e">
        <f t="shared" si="9"/>
        <v>#VALUE!</v>
      </c>
      <c r="J226"/>
      <c r="Y226" s="1316"/>
    </row>
    <row r="227" spans="1:43" x14ac:dyDescent="0.25">
      <c r="A227"/>
      <c r="B227"/>
      <c r="C227"/>
      <c r="D227"/>
      <c r="E227" t="s">
        <v>803</v>
      </c>
      <c r="F227" t="s">
        <v>440</v>
      </c>
      <c r="G227">
        <f>F91</f>
        <v>0</v>
      </c>
      <c r="H227" s="227" t="e">
        <f>AB91*1000</f>
        <v>#N/A</v>
      </c>
      <c r="I227" t="e">
        <f t="shared" si="9"/>
        <v>#VALUE!</v>
      </c>
      <c r="J227"/>
      <c r="Y227" s="1914"/>
      <c r="Z227" s="1914"/>
      <c r="AB227" s="1316"/>
    </row>
    <row r="228" spans="1:43" s="1164" customFormat="1" x14ac:dyDescent="0.25">
      <c r="A228"/>
      <c r="B228"/>
      <c r="C228"/>
      <c r="D228"/>
      <c r="E228" t="s">
        <v>803</v>
      </c>
      <c r="F228" t="s">
        <v>826</v>
      </c>
      <c r="G228"/>
      <c r="H228" t="e">
        <f>AA14</f>
        <v>#N/A</v>
      </c>
      <c r="I228" t="s">
        <v>827</v>
      </c>
      <c r="J228"/>
      <c r="Y228" s="1914"/>
      <c r="Z228" s="1914"/>
      <c r="AA228" s="1069"/>
      <c r="AB228" s="1069"/>
      <c r="AC228" s="1069"/>
      <c r="AD228" s="1069"/>
      <c r="AE228" s="1069"/>
      <c r="AF228" s="1069"/>
      <c r="AG228" s="1069"/>
      <c r="AH228" s="1069"/>
      <c r="AI228" s="1069"/>
      <c r="AJ228" s="1069"/>
      <c r="AK228" s="1069"/>
      <c r="AL228" s="1069"/>
      <c r="AM228" s="1069"/>
      <c r="AN228" s="1069"/>
      <c r="AO228" s="1069"/>
      <c r="AP228" s="1069"/>
      <c r="AQ228" s="1069"/>
    </row>
    <row r="229" spans="1:43" x14ac:dyDescent="0.25">
      <c r="A229"/>
      <c r="B229"/>
      <c r="C229"/>
      <c r="D229"/>
      <c r="E229" t="s">
        <v>803</v>
      </c>
      <c r="F229" t="s">
        <v>461</v>
      </c>
      <c r="G229"/>
      <c r="H229">
        <f>SUMIF(AA128:AA130,"&lt;&gt;#N/A")+SUMIF(Y60,"&lt;&gt;#N/A")</f>
        <v>0</v>
      </c>
      <c r="I229" t="s">
        <v>90</v>
      </c>
      <c r="J229"/>
    </row>
    <row r="230" spans="1:43" x14ac:dyDescent="0.25">
      <c r="A230"/>
      <c r="B230"/>
      <c r="C230"/>
      <c r="D230"/>
      <c r="E230" t="s">
        <v>803</v>
      </c>
      <c r="F230" t="s">
        <v>462</v>
      </c>
      <c r="G230"/>
      <c r="H230">
        <f>SUMIF(Z128:Z130,"&lt;&gt;#N/A")</f>
        <v>0</v>
      </c>
      <c r="I230" t="s">
        <v>90</v>
      </c>
      <c r="J230"/>
    </row>
    <row r="231" spans="1:43" x14ac:dyDescent="0.25">
      <c r="A231"/>
      <c r="B231"/>
      <c r="C231"/>
      <c r="D231"/>
      <c r="E231" t="s">
        <v>803</v>
      </c>
      <c r="F231" t="s">
        <v>463</v>
      </c>
      <c r="G231"/>
      <c r="H231">
        <f>Y121</f>
        <v>0</v>
      </c>
      <c r="I231" t="s">
        <v>415</v>
      </c>
    </row>
    <row r="232" spans="1:43" x14ac:dyDescent="0.25">
      <c r="A232"/>
      <c r="B232"/>
      <c r="C232"/>
      <c r="D232"/>
      <c r="E232" t="s">
        <v>803</v>
      </c>
      <c r="F232" t="s">
        <v>828</v>
      </c>
      <c r="G232"/>
      <c r="H232">
        <f>O121</f>
        <v>0</v>
      </c>
      <c r="I232" t="s">
        <v>730</v>
      </c>
    </row>
    <row r="233" spans="1:43" x14ac:dyDescent="0.25">
      <c r="A233"/>
      <c r="B233"/>
      <c r="C233"/>
      <c r="D233"/>
      <c r="E233" t="s">
        <v>803</v>
      </c>
      <c r="F233" t="s">
        <v>829</v>
      </c>
      <c r="G233"/>
      <c r="H233">
        <f>O131</f>
        <v>0</v>
      </c>
      <c r="I233" t="s">
        <v>730</v>
      </c>
    </row>
    <row r="234" spans="1:43" s="1164" customFormat="1" x14ac:dyDescent="0.25">
      <c r="A234"/>
      <c r="B234"/>
      <c r="C234"/>
      <c r="D234"/>
      <c r="E234" t="s">
        <v>803</v>
      </c>
      <c r="F234" t="s">
        <v>469</v>
      </c>
      <c r="G234"/>
      <c r="H234">
        <f>AG138</f>
        <v>0</v>
      </c>
      <c r="I234" t="s">
        <v>90</v>
      </c>
      <c r="Y234" s="1069"/>
      <c r="Z234" s="1069"/>
      <c r="AA234" s="1069"/>
      <c r="AB234" s="1069"/>
      <c r="AC234" s="1069"/>
      <c r="AD234" s="1069"/>
      <c r="AE234" s="1069"/>
      <c r="AF234" s="1069"/>
      <c r="AG234" s="1069"/>
      <c r="AH234" s="1069"/>
      <c r="AI234" s="1069"/>
      <c r="AJ234" s="1069"/>
      <c r="AK234" s="1069"/>
      <c r="AL234" s="1069"/>
      <c r="AM234" s="1069"/>
      <c r="AN234" s="1069"/>
      <c r="AO234" s="1069"/>
      <c r="AP234" s="1069"/>
      <c r="AQ234" s="1069"/>
    </row>
    <row r="235" spans="1:43" x14ac:dyDescent="0.25">
      <c r="A235"/>
      <c r="B235"/>
      <c r="C235"/>
      <c r="D235"/>
      <c r="E235" t="s">
        <v>803</v>
      </c>
      <c r="F235" t="s">
        <v>474</v>
      </c>
      <c r="G235"/>
      <c r="H235">
        <f>AF138</f>
        <v>0</v>
      </c>
      <c r="I235" t="s">
        <v>90</v>
      </c>
    </row>
    <row r="236" spans="1:43" x14ac:dyDescent="0.25">
      <c r="A236"/>
      <c r="B236"/>
      <c r="C236"/>
      <c r="D236"/>
      <c r="E236" t="s">
        <v>803</v>
      </c>
      <c r="F236" t="s">
        <v>830</v>
      </c>
      <c r="G236"/>
      <c r="H236">
        <f>O138</f>
        <v>0</v>
      </c>
      <c r="I236" t="s">
        <v>730</v>
      </c>
    </row>
    <row r="237" spans="1:43" x14ac:dyDescent="0.25">
      <c r="A237"/>
      <c r="B237"/>
      <c r="C237"/>
      <c r="D237"/>
      <c r="E237" t="s">
        <v>803</v>
      </c>
      <c r="F237" t="s">
        <v>831</v>
      </c>
      <c r="G237"/>
      <c r="H237">
        <v>0</v>
      </c>
      <c r="I237" t="s">
        <v>90</v>
      </c>
    </row>
    <row r="238" spans="1:43" x14ac:dyDescent="0.25">
      <c r="A238"/>
      <c r="B238"/>
      <c r="C238"/>
      <c r="D238"/>
      <c r="E238" t="s">
        <v>803</v>
      </c>
      <c r="F238" t="s">
        <v>832</v>
      </c>
      <c r="G238"/>
      <c r="H238">
        <v>0</v>
      </c>
      <c r="I238" t="s">
        <v>90</v>
      </c>
    </row>
    <row r="239" spans="1:43" x14ac:dyDescent="0.25">
      <c r="A239"/>
      <c r="B239"/>
      <c r="C239"/>
      <c r="D239"/>
      <c r="E239" t="s">
        <v>803</v>
      </c>
      <c r="F239" t="s">
        <v>833</v>
      </c>
      <c r="G239"/>
      <c r="H239">
        <v>0</v>
      </c>
      <c r="I239" t="s">
        <v>730</v>
      </c>
    </row>
    <row r="240" spans="1:43" x14ac:dyDescent="0.25">
      <c r="A240"/>
      <c r="B240"/>
      <c r="C240"/>
      <c r="D240"/>
      <c r="E240" t="s">
        <v>803</v>
      </c>
      <c r="F240" t="s">
        <v>423</v>
      </c>
      <c r="G240">
        <f>E33</f>
        <v>0</v>
      </c>
      <c r="H240" t="e">
        <f>AB33</f>
        <v>#N/A</v>
      </c>
      <c r="I240" s="705" t="e">
        <f>O33/AB33</f>
        <v>#N/A</v>
      </c>
    </row>
    <row r="241" spans="1:11" x14ac:dyDescent="0.25">
      <c r="A241"/>
      <c r="B241"/>
      <c r="C241"/>
      <c r="D241"/>
      <c r="E241" t="s">
        <v>803</v>
      </c>
      <c r="F241" t="s">
        <v>424</v>
      </c>
      <c r="G241">
        <f>E34</f>
        <v>0</v>
      </c>
      <c r="H241" t="e">
        <f>AB34</f>
        <v>#N/A</v>
      </c>
      <c r="I241" s="704" t="e">
        <f>O34/AB34</f>
        <v>#N/A</v>
      </c>
    </row>
    <row r="242" spans="1:11" x14ac:dyDescent="0.25">
      <c r="A242"/>
      <c r="B242"/>
      <c r="C242"/>
      <c r="D242"/>
      <c r="E242" t="s">
        <v>803</v>
      </c>
      <c r="F242" t="s">
        <v>425</v>
      </c>
      <c r="G242">
        <f>E35</f>
        <v>0</v>
      </c>
      <c r="H242" t="e">
        <f>AB35</f>
        <v>#N/A</v>
      </c>
      <c r="I242" s="705" t="e">
        <f>O35/AB35</f>
        <v>#N/A</v>
      </c>
    </row>
    <row r="243" spans="1:11" x14ac:dyDescent="0.25">
      <c r="A243"/>
      <c r="B243"/>
      <c r="C243"/>
      <c r="D243"/>
      <c r="E243" t="s">
        <v>803</v>
      </c>
      <c r="F243" t="s">
        <v>426</v>
      </c>
      <c r="G243">
        <f>E42</f>
        <v>0</v>
      </c>
      <c r="H243" t="e" cm="1">
        <f t="array" ref="H243">(AB42*VLOOKUP(,"m3",Table13[],FALSE))</f>
        <v>#N/A</v>
      </c>
      <c r="I243" s="704" t="e" cm="1">
        <f t="array" ref="I243">O42/(AB42*VLOOKUP(,"m3",Table13[],FALSE))</f>
        <v>#N/A</v>
      </c>
    </row>
    <row r="244" spans="1:11" x14ac:dyDescent="0.25">
      <c r="A244"/>
      <c r="B244"/>
      <c r="C244"/>
      <c r="D244"/>
      <c r="E244" t="s">
        <v>803</v>
      </c>
      <c r="F244" t="s">
        <v>428</v>
      </c>
      <c r="G244">
        <f>E68</f>
        <v>0</v>
      </c>
      <c r="H244" s="227" t="e">
        <f>Y68</f>
        <v>#N/A</v>
      </c>
      <c r="I244" s="839" t="e">
        <f>AD68</f>
        <v>#N/A</v>
      </c>
    </row>
    <row r="245" spans="1:11" x14ac:dyDescent="0.25">
      <c r="A245"/>
      <c r="B245"/>
      <c r="C245"/>
      <c r="D245"/>
      <c r="E245" t="s">
        <v>803</v>
      </c>
      <c r="F245" t="s">
        <v>429</v>
      </c>
      <c r="G245">
        <f>E69</f>
        <v>0</v>
      </c>
      <c r="H245" t="e">
        <f>Z69</f>
        <v>#N/A</v>
      </c>
      <c r="I245" s="704" t="e">
        <f>Y69</f>
        <v>#N/A</v>
      </c>
    </row>
    <row r="246" spans="1:11" x14ac:dyDescent="0.25">
      <c r="A246"/>
      <c r="B246"/>
      <c r="C246"/>
      <c r="D246"/>
      <c r="E246" t="s">
        <v>803</v>
      </c>
      <c r="F246" t="s">
        <v>430</v>
      </c>
      <c r="G246">
        <f>E70</f>
        <v>0</v>
      </c>
      <c r="H246" t="e">
        <f>Z70</f>
        <v>#N/A</v>
      </c>
      <c r="I246" s="705" t="e">
        <f>Y70</f>
        <v>#N/A</v>
      </c>
    </row>
    <row r="247" spans="1:11" x14ac:dyDescent="0.25">
      <c r="A247"/>
      <c r="B247"/>
      <c r="C247"/>
      <c r="D247"/>
      <c r="E247" t="s">
        <v>803</v>
      </c>
      <c r="F247" t="s">
        <v>431</v>
      </c>
      <c r="G247"/>
      <c r="H247" t="e">
        <f>Z128</f>
        <v>#N/A</v>
      </c>
      <c r="I247" s="704" t="e">
        <f>Y128</f>
        <v>#N/A</v>
      </c>
    </row>
    <row r="248" spans="1:11" x14ac:dyDescent="0.25">
      <c r="A248"/>
      <c r="B248"/>
      <c r="C248"/>
      <c r="D248"/>
      <c r="E248" t="s">
        <v>803</v>
      </c>
      <c r="F248" t="s">
        <v>432</v>
      </c>
      <c r="G248"/>
      <c r="H248" t="e">
        <f>Z129</f>
        <v>#N/A</v>
      </c>
      <c r="I248" s="705" t="e">
        <f>Y129</f>
        <v>#N/A</v>
      </c>
      <c r="K248"/>
    </row>
    <row r="249" spans="1:11" x14ac:dyDescent="0.25">
      <c r="A249"/>
      <c r="B249"/>
      <c r="C249"/>
      <c r="D249"/>
      <c r="E249" t="s">
        <v>803</v>
      </c>
      <c r="F249" t="s">
        <v>433</v>
      </c>
      <c r="G249"/>
      <c r="H249" t="e">
        <f>Z130</f>
        <v>#N/A</v>
      </c>
      <c r="I249" s="704" t="e">
        <f>Y130</f>
        <v>#N/A</v>
      </c>
    </row>
    <row r="250" spans="1:11" x14ac:dyDescent="0.25">
      <c r="A250"/>
      <c r="B250"/>
      <c r="C250"/>
      <c r="D250"/>
      <c r="E250" t="s">
        <v>803</v>
      </c>
      <c r="F250" t="s">
        <v>407</v>
      </c>
      <c r="G250"/>
      <c r="H250" t="s">
        <v>369</v>
      </c>
      <c r="K250"/>
    </row>
    <row r="251" spans="1:11" x14ac:dyDescent="0.25">
      <c r="A251"/>
      <c r="B251"/>
      <c r="C251"/>
      <c r="D251"/>
      <c r="E251" t="s">
        <v>803</v>
      </c>
      <c r="F251" t="s">
        <v>834</v>
      </c>
      <c r="G251"/>
      <c r="H251" t="s">
        <v>369</v>
      </c>
    </row>
    <row r="252" spans="1:11" x14ac:dyDescent="0.25">
      <c r="A252"/>
      <c r="B252"/>
      <c r="C252"/>
      <c r="D252"/>
      <c r="E252" t="s">
        <v>803</v>
      </c>
      <c r="F252" t="s">
        <v>835</v>
      </c>
      <c r="G252"/>
      <c r="H252" t="s">
        <v>369</v>
      </c>
    </row>
    <row r="253" spans="1:11" x14ac:dyDescent="0.25">
      <c r="A253"/>
      <c r="B253"/>
      <c r="C253"/>
      <c r="D253"/>
      <c r="E253" t="s">
        <v>803</v>
      </c>
      <c r="F253" t="s">
        <v>836</v>
      </c>
      <c r="G253"/>
      <c r="H253" t="s">
        <v>369</v>
      </c>
    </row>
    <row r="254" spans="1:11" x14ac:dyDescent="0.25">
      <c r="A254"/>
      <c r="B254"/>
      <c r="C254"/>
      <c r="D254"/>
      <c r="E254"/>
      <c r="F254"/>
      <c r="G254"/>
      <c r="H254"/>
      <c r="I254" s="1164"/>
    </row>
    <row r="255" spans="1:11" x14ac:dyDescent="0.25">
      <c r="A255"/>
      <c r="B255"/>
      <c r="C255"/>
      <c r="D255"/>
      <c r="E255"/>
      <c r="F255"/>
      <c r="G255"/>
      <c r="H255"/>
    </row>
    <row r="256" spans="1:11" x14ac:dyDescent="0.25">
      <c r="A256"/>
      <c r="B256"/>
      <c r="C256"/>
      <c r="D256"/>
      <c r="E256" s="1121" t="s">
        <v>479</v>
      </c>
      <c r="F256" s="1121" t="s">
        <v>575</v>
      </c>
      <c r="G256" s="1121" t="s">
        <v>481</v>
      </c>
      <c r="H256" s="1121" t="s">
        <v>482</v>
      </c>
      <c r="I256" s="1121" t="s">
        <v>483</v>
      </c>
    </row>
    <row r="257" spans="1:9" x14ac:dyDescent="0.25">
      <c r="A257"/>
      <c r="B257"/>
      <c r="C257"/>
      <c r="D257"/>
      <c r="E257" t="str">
        <f>'Hidden Lists and Summaries'!$B$5</f>
        <v>Embodied (Upstream)</v>
      </c>
      <c r="F257" t="s">
        <v>837</v>
      </c>
      <c r="G257" s="227" t="e">
        <f>ammoniaEmissionsBreakdown[[#This Row],[Emissions (kg CO2-e)]]/amm_quantityProduced_tonnes</f>
        <v>#DIV/0!</v>
      </c>
      <c r="H257" s="227">
        <f>SUMIFS($AH$36:$AH$115,$AL$36:$AL$115,F257)+SUMIFS($AI$36:$AI$115,$AM$36:$AM$115,F257) + IF(amm_integrated_facility="No",AB14,0)</f>
        <v>0</v>
      </c>
      <c r="I257" t="s">
        <v>484</v>
      </c>
    </row>
    <row r="258" spans="1:9" x14ac:dyDescent="0.25">
      <c r="A258"/>
      <c r="B258"/>
      <c r="C258"/>
      <c r="D258"/>
      <c r="E258" t="str">
        <f>'Hidden Lists and Summaries'!$B$5</f>
        <v>Embodied (Upstream)</v>
      </c>
      <c r="F258" t="s">
        <v>214</v>
      </c>
      <c r="G258" s="227" t="e">
        <f ca="1">ammoniaEmissionsBreakdown[[#This Row],[Emissions (kg CO2-e)]]/amm_quantityProduced_tonnes</f>
        <v>#DIV/0!</v>
      </c>
      <c r="H258" s="227">
        <f ca="1">SUMIFS($AH$36:$AH$115,$AL$36:$AL$115,F258)+SUMIFS($AI$36:$AI$115,$AM$36:$AM$115,F258) + IF(amm_integrated_facility="Yes", VLOOKUP(ammoniaEmissionsBreakdown[[#This Row],[Breakdown Sub category]],_xlfn.CHOOSECOLS(INDIRECT($K$165),2,4),2,FALSE), 0)</f>
        <v>0</v>
      </c>
      <c r="I258" t="s">
        <v>484</v>
      </c>
    </row>
    <row r="259" spans="1:9" x14ac:dyDescent="0.25">
      <c r="A259"/>
      <c r="B259"/>
      <c r="C259"/>
      <c r="D259"/>
      <c r="E259" t="str">
        <f>'Hidden Lists and Summaries'!$B$5</f>
        <v>Embodied (Upstream)</v>
      </c>
      <c r="F259" t="s">
        <v>243</v>
      </c>
      <c r="G259" s="227" t="e">
        <f ca="1">ammoniaEmissionsBreakdown[[#This Row],[Emissions (kg CO2-e)]]/amm_quantityProduced_tonnes</f>
        <v>#DIV/0!</v>
      </c>
      <c r="H259" s="227">
        <f ca="1">SUMIFS($AH$36:$AH$115,$AL$36:$AL$115,F259)+SUMIFS($AI$36:$AI$115,$AM$36:$AM$115,F259) + IF(amm_integrated_facility="Yes", VLOOKUP(ammoniaEmissionsBreakdown[[#This Row],[Breakdown Sub category]],_xlfn.CHOOSECOLS(INDIRECT($K$165),2,4),2,FALSE), 0)</f>
        <v>0</v>
      </c>
      <c r="I259" t="s">
        <v>484</v>
      </c>
    </row>
    <row r="260" spans="1:9" x14ac:dyDescent="0.25">
      <c r="A260"/>
      <c r="B260"/>
      <c r="C260"/>
      <c r="D260"/>
      <c r="E260" t="str">
        <f>'Hidden Lists and Summaries'!$B$5</f>
        <v>Embodied (Upstream)</v>
      </c>
      <c r="F260" t="s">
        <v>286</v>
      </c>
      <c r="G260" s="227" t="e">
        <f ca="1">ammoniaEmissionsBreakdown[[#This Row],[Emissions (kg CO2-e)]]/amm_quantityProduced_tonnes</f>
        <v>#DIV/0!</v>
      </c>
      <c r="H260" s="227">
        <f ca="1">SUMIFS($AH$36:$AH$115,$AL$36:$AL$115,F260)+SUMIFS($AI$36:$AI$115,$AM$36:$AM$115,F260) + IF(amm_integrated_facility="Yes", VLOOKUP(ammoniaEmissionsBreakdown[[#This Row],[Breakdown Sub category]],_xlfn.CHOOSECOLS(INDIRECT($K$165),2,4),2,FALSE), 0)</f>
        <v>0</v>
      </c>
      <c r="I260" t="s">
        <v>484</v>
      </c>
    </row>
    <row r="261" spans="1:9" x14ac:dyDescent="0.25">
      <c r="A261"/>
      <c r="B261"/>
      <c r="C261"/>
      <c r="D261"/>
      <c r="E261" t="str">
        <f>'Hidden Lists and Summaries'!$B$5</f>
        <v>Embodied (Upstream)</v>
      </c>
      <c r="F261" t="s">
        <v>486</v>
      </c>
      <c r="G261" s="227" t="e">
        <f ca="1">ammoniaEmissionsBreakdown[[#This Row],[Emissions (kg CO2-e)]]/amm_quantityProduced_tonnes</f>
        <v>#DIV/0!</v>
      </c>
      <c r="H261" s="227">
        <f ca="1">SUMIFS($AH$36:$AH$115,$AL$36:$AL$115,F261)+SUMIFS($AI$36:$AI$115,$AM$36:$AM$115,F261) + IF(amm_integrated_facility="Yes", VLOOKUP(ammoniaEmissionsBreakdown[[#This Row],[Breakdown Sub category]],_xlfn.CHOOSECOLS(INDIRECT($K$165),2,4),2,FALSE), 0)</f>
        <v>0</v>
      </c>
      <c r="I261"/>
    </row>
    <row r="262" spans="1:9" x14ac:dyDescent="0.25">
      <c r="A262"/>
      <c r="B262"/>
      <c r="C262"/>
      <c r="D262"/>
      <c r="E262" t="str">
        <f>'Hidden Lists and Summaries'!B6</f>
        <v>Steam Supply</v>
      </c>
      <c r="F262"/>
      <c r="G262" s="227" t="e">
        <f ca="1">ammoniaEmissionsBreakdown[[#This Row],[Emissions (kg CO2-e)]]/amm_quantityProduced_tonnes</f>
        <v>#DIV/0!</v>
      </c>
      <c r="H262" s="227">
        <f ca="1">SUMIFS($AH$36:$AH$115,$AJ$36:$AJ$115,E262)+SUMIFS($AI$36:$AI$115,$AK$36:$AK$115,E262) + IF(amm_integrated_facility="Yes", VLOOKUP(ammoniaEmissionsBreakdown[[#This Row],[Major category]],_xlfn.CHOOSECOLS(INDIRECT($K$165),1,4),2,FALSE), 0)</f>
        <v>0</v>
      </c>
      <c r="I262" t="s">
        <v>487</v>
      </c>
    </row>
    <row r="263" spans="1:9" x14ac:dyDescent="0.25">
      <c r="A263"/>
      <c r="B263"/>
      <c r="C263"/>
      <c r="D263"/>
      <c r="E263" t="str">
        <f>'Hidden Lists and Summaries'!B7</f>
        <v>Electricity Supply</v>
      </c>
      <c r="F263"/>
      <c r="G263" s="227" t="e">
        <f ca="1">ammoniaEmissionsBreakdown[[#This Row],[Emissions (kg CO2-e)]]/amm_quantityProduced_tonnes</f>
        <v>#DIV/0!</v>
      </c>
      <c r="H263" s="227">
        <f ca="1">SUMIFS($AH$36:$AH$115,$AJ$36:$AJ$115,E263)+SUMIFS($AI$36:$AI$115,$AK$36:$AK$115,E263) + IF(amm_integrated_facility="Yes", VLOOKUP(ammoniaEmissionsBreakdown[[#This Row],[Major category]],_xlfn.CHOOSECOLS(INDIRECT($K$165),1,4),2,FALSE), 0)</f>
        <v>0</v>
      </c>
      <c r="I263" t="s">
        <v>487</v>
      </c>
    </row>
    <row r="264" spans="1:9" x14ac:dyDescent="0.25">
      <c r="A264"/>
      <c r="B264"/>
      <c r="C264"/>
      <c r="D264"/>
      <c r="E264" t="str">
        <f>'Hidden Lists and Summaries'!B8</f>
        <v>Fuel Combustion</v>
      </c>
      <c r="F264"/>
      <c r="G264" s="227" t="e">
        <f ca="1">ammoniaEmissionsBreakdown[[#This Row],[Emissions (kg CO2-e)]]/amm_quantityProduced_tonnes</f>
        <v>#DIV/0!</v>
      </c>
      <c r="H264" s="227">
        <f ca="1">SUMIFS($AH$36:$AH$115,$AJ$36:$AJ$115,E264)+SUMIFS($AI$36:$AI$115,$AK$36:$AK$115,E264) + IF(amm_integrated_facility="Yes", VLOOKUP(ammoniaEmissionsBreakdown[[#This Row],[Major category]],_xlfn.CHOOSECOLS(INDIRECT($K$165),1,4),2,FALSE), 0)</f>
        <v>0</v>
      </c>
      <c r="I264" t="s">
        <v>487</v>
      </c>
    </row>
    <row r="265" spans="1:9" x14ac:dyDescent="0.25">
      <c r="A265"/>
      <c r="B265"/>
      <c r="C265"/>
      <c r="D265"/>
      <c r="E265" t="str">
        <f>'Hidden Lists and Summaries'!B9</f>
        <v>Industrial Process</v>
      </c>
      <c r="F265"/>
      <c r="G265" s="227" t="e">
        <f ca="1">ammoniaEmissionsBreakdown[[#This Row],[Emissions (kg CO2-e)]]/amm_quantityProduced_tonnes</f>
        <v>#DIV/0!</v>
      </c>
      <c r="H265" s="227">
        <f ca="1">SUMIFS($AH$36:$AH$115,$AJ$36:$AJ$115,E265)+SUMIFS($AI$36:$AI$115,$AK$36:$AK$115,E265) + IF(amm_integrated_facility="Yes", VLOOKUP(ammoniaEmissionsBreakdown[[#This Row],[Major category]],_xlfn.CHOOSECOLS(INDIRECT($K$165),1,4),2,FALSE), 0)</f>
        <v>0</v>
      </c>
      <c r="I265" t="s">
        <v>487</v>
      </c>
    </row>
    <row r="266" spans="1:9" x14ac:dyDescent="0.25">
      <c r="A266"/>
      <c r="B266"/>
      <c r="C266"/>
      <c r="D266"/>
      <c r="E266" t="str">
        <f>'Hidden Lists and Summaries'!B10</f>
        <v>Accrued</v>
      </c>
      <c r="F266"/>
      <c r="G266" s="227" t="e">
        <f ca="1">ammoniaEmissionsBreakdown[[#This Row],[Emissions (kg CO2-e)]]/amm_quantityProduced_tonnes</f>
        <v>#DIV/0!</v>
      </c>
      <c r="H266" s="227">
        <f ca="1">SUMIFS($AH$36:$AH$115,$AJ$36:$AJ$115,E266)+SUMIFS($AI$36:$AI$115,$AK$36:$AK$115,E266) + IF(amm_integrated_facility="Yes", VLOOKUP(ammoniaEmissionsBreakdown[[#This Row],[Major category]],_xlfn.CHOOSECOLS(INDIRECT($K$165),1,4),2,FALSE), 0)</f>
        <v>0</v>
      </c>
      <c r="I266" t="s">
        <v>487</v>
      </c>
    </row>
    <row r="267" spans="1:9" x14ac:dyDescent="0.25">
      <c r="A267"/>
      <c r="B267"/>
      <c r="C267"/>
      <c r="D267"/>
      <c r="E267" t="s">
        <v>488</v>
      </c>
      <c r="F267"/>
      <c r="G267" s="227" t="e">
        <f ca="1">ammoniaEmissionsBreakdown[[#This Row],[Emissions (kg CO2-e)]]/amm_quantityProduced_tonnes</f>
        <v>#DIV/0!</v>
      </c>
      <c r="H267" s="227">
        <f ca="1">IF(amm_integrated_facility="Yes",SUMIF(INDIRECT($K$165&amp;"[Major category]"),ammoniaEmissionsBreakdown[[#This Row],[Major category]],INDIRECT($K$165&amp;"[Emissions (kg CO2-e)]")),0) + IF(amm_integrated_facility="Yes", VLOOKUP(ammoniaEmissionsBreakdown[[#This Row],[Major category]],_xlfn.CHOOSECOLS(INDIRECT($K$165),1,4),2,FALSE), 0)</f>
        <v>0</v>
      </c>
      <c r="I267" t="s">
        <v>487</v>
      </c>
    </row>
    <row r="268" spans="1:9" x14ac:dyDescent="0.25">
      <c r="A268"/>
      <c r="B268"/>
      <c r="C268"/>
      <c r="D268"/>
      <c r="E268" t="s">
        <v>374</v>
      </c>
      <c r="G268" s="227" t="e">
        <f ca="1">ammoniaEmissionsBreakdown[[#This Row],[Emissions (kg CO2-e)]]/amm_quantityProduced_tonnes</f>
        <v>#DIV/0!</v>
      </c>
      <c r="H268" s="227">
        <f ca="1">O122 + IF(amm_integrated_facility="Yes", VLOOKUP(ammoniaEmissionsBreakdown[[#This Row],[Major category]],_xlfn.CHOOSECOLS(INDIRECT($K$165),1,4),2,FALSE), 0)</f>
        <v>0</v>
      </c>
      <c r="I268" t="s">
        <v>489</v>
      </c>
    </row>
    <row r="269" spans="1:9" x14ac:dyDescent="0.25">
      <c r="A269"/>
      <c r="B269"/>
      <c r="C269"/>
      <c r="D269"/>
      <c r="E269" t="s">
        <v>375</v>
      </c>
      <c r="G269" s="227" t="e">
        <f ca="1">ammoniaEmissionsBreakdown[[#This Row],[Emissions (kg CO2-e)]]/amm_quantityProduced_tonnes</f>
        <v>#DIV/0!</v>
      </c>
      <c r="H269" s="227">
        <f ca="1">O131 + IF(amm_integrated_facility="Yes", VLOOKUP(ammoniaEmissionsBreakdown[[#This Row],[Major category]],_xlfn.CHOOSECOLS(INDIRECT($K$165),1,4),2,FALSE), 0)</f>
        <v>0</v>
      </c>
      <c r="I269" t="s">
        <v>489</v>
      </c>
    </row>
    <row r="270" spans="1:9" x14ac:dyDescent="0.25">
      <c r="A270"/>
      <c r="B270"/>
      <c r="C270"/>
      <c r="D270"/>
      <c r="E270" t="s">
        <v>377</v>
      </c>
      <c r="G270" s="227" t="e">
        <f ca="1">ammoniaEmissionsBreakdown[[#This Row],[Emissions (kg CO2-e)]]/amm_quantityProduced_tonnes</f>
        <v>#DIV/0!</v>
      </c>
      <c r="H270" s="227">
        <f ca="1">O138 + IF(amm_integrated_facility="Yes", VLOOKUP(ammoniaEmissionsBreakdown[[#This Row],[Major category]],_xlfn.CHOOSECOLS(INDIRECT($K$165),1,4),2,FALSE), 0)</f>
        <v>0</v>
      </c>
      <c r="I270" t="s">
        <v>489</v>
      </c>
    </row>
    <row r="271" spans="1:9" x14ac:dyDescent="0.25">
      <c r="A271"/>
      <c r="B271"/>
      <c r="C271"/>
      <c r="D271"/>
      <c r="E271" t="s">
        <v>378</v>
      </c>
      <c r="G271" s="227" t="e">
        <f ca="1">ammoniaEmissionsBreakdown[[#This Row],[Emissions (kg CO2-e)]]/amm_quantityProduced_tonnes</f>
        <v>#DIV/0!</v>
      </c>
      <c r="H271" s="227">
        <f ca="1">IF(amm_integrated_facility="Yes", VLOOKUP(ammoniaEmissionsBreakdown[[#This Row],[Major category]],_xlfn.CHOOSECOLS(INDIRECT($K$165),1,4),2,FALSE), 0)</f>
        <v>0</v>
      </c>
      <c r="I271" t="s">
        <v>489</v>
      </c>
    </row>
    <row r="272" spans="1:9" x14ac:dyDescent="0.25">
      <c r="A272"/>
      <c r="B272"/>
      <c r="C272"/>
      <c r="D272"/>
      <c r="E272" t="s">
        <v>384</v>
      </c>
      <c r="G272" s="227" t="e">
        <f ca="1">ammoniaEmissionsBreakdown[[#This Row],[Emissions (kg CO2-e)]]/amm_quantityProduced_tonnes</f>
        <v>#DIV/0!</v>
      </c>
      <c r="H272" s="227">
        <f ca="1">O155 + IF(amm_integrated_facility="Yes", VLOOKUP(ammoniaEmissionsBreakdown[[#This Row],[Major category]],_xlfn.CHOOSECOLS(INDIRECT($K$165),1,4),2,FALSE), 0)</f>
        <v>0</v>
      </c>
      <c r="I272"/>
    </row>
    <row r="273" spans="5:9" x14ac:dyDescent="0.25">
      <c r="E273" t="s">
        <v>838</v>
      </c>
      <c r="G273" s="227" t="e">
        <f ca="1">ammoniaEmissionsBreakdown[[#This Row],[Emissions (kg CO2-e)]]/amm_quantityProduced_tonnes</f>
        <v>#DIV/0!</v>
      </c>
      <c r="H273" s="227">
        <f ca="1">IF(amm_integrated_facility="Yes", VLOOKUP(ammoniaEmissionsBreakdown[[#This Row],[Major category]],_xlfn.CHOOSECOLS(INDIRECT($K$165),1,4),2,FALSE), 0)</f>
        <v>0</v>
      </c>
      <c r="I273"/>
    </row>
    <row r="274" spans="5:9" x14ac:dyDescent="0.25">
      <c r="E274" t="s">
        <v>379</v>
      </c>
      <c r="G274" s="227" t="e">
        <f ca="1">ammoniaEmissionsBreakdown[[#This Row],[Emissions (kg CO2-e)]]/amm_quantityProduced_tonnes</f>
        <v>#DIV/0!</v>
      </c>
      <c r="H274" s="227">
        <f ca="1">IF(amm_integrated_facility="Yes", VLOOKUP(ammoniaEmissionsBreakdown[[#This Row],[Major category]],_xlfn.CHOOSECOLS(INDIRECT($K$165),1,4),2,FALSE), 0)</f>
        <v>0</v>
      </c>
      <c r="I274" t="s">
        <v>489</v>
      </c>
    </row>
    <row r="275" spans="5:9" x14ac:dyDescent="0.25">
      <c r="E275" t="s">
        <v>380</v>
      </c>
      <c r="G275" s="227" t="e">
        <f ca="1">ammoniaEmissionsBreakdown[[#This Row],[Emissions (kg CO2-e)]]/amm_quantityProduced_tonnes</f>
        <v>#DIV/0!</v>
      </c>
      <c r="H275" s="227">
        <f ca="1">IF(amm_integrated_facility="Yes", VLOOKUP(ammoniaEmissionsBreakdown[[#This Row],[Major category]],_xlfn.CHOOSECOLS(INDIRECT($K$165),1,4),2,FALSE), 0)</f>
        <v>0</v>
      </c>
      <c r="I275" t="s">
        <v>489</v>
      </c>
    </row>
    <row r="276" spans="5:9" x14ac:dyDescent="0.25">
      <c r="E276" t="s">
        <v>381</v>
      </c>
      <c r="G276" s="227" t="e">
        <f ca="1">ammoniaEmissionsBreakdown[[#This Row],[Emissions (kg CO2-e)]]/amm_quantityProduced_tonnes</f>
        <v>#DIV/0!</v>
      </c>
      <c r="H276" s="227">
        <f ca="1">IF(amm_integrated_facility="Yes", VLOOKUP(ammoniaEmissionsBreakdown[[#This Row],[Major category]],_xlfn.CHOOSECOLS(INDIRECT($K$165),1,4),2,FALSE), 0)</f>
        <v>0</v>
      </c>
      <c r="I276" t="s">
        <v>489</v>
      </c>
    </row>
    <row r="277" spans="5:9" x14ac:dyDescent="0.25">
      <c r="E277" t="s">
        <v>382</v>
      </c>
      <c r="G277" s="227" t="e">
        <f ca="1">ammoniaEmissionsBreakdown[[#This Row],[Emissions (kg CO2-e)]]/amm_quantityProduced_tonnes</f>
        <v>#DIV/0!</v>
      </c>
      <c r="H277" s="227">
        <f ca="1">IF(amm_integrated_facility="Yes", VLOOKUP(ammoniaEmissionsBreakdown[[#This Row],[Major category]],_xlfn.CHOOSECOLS(INDIRECT($K$165),1,4),2,FALSE), 0)</f>
        <v>0</v>
      </c>
      <c r="I277" t="s">
        <v>489</v>
      </c>
    </row>
    <row r="278" spans="5:9" x14ac:dyDescent="0.25">
      <c r="E278" t="s">
        <v>491</v>
      </c>
      <c r="F278"/>
      <c r="G278" s="227" t="e">
        <f ca="1">ammoniaEmissionsBreakdown[[#This Row],[Emissions (kg CO2-e)]]/amm_quantityProduced_tonnes</f>
        <v>#DIV/0!</v>
      </c>
      <c r="H278" s="227">
        <f ca="1">conditioning_transport_emissions + IF(amm_integrated_facility="Yes", VLOOKUP(ammoniaEmissionsBreakdown[[#This Row],[Major category]],_xlfn.CHOOSECOLS(INDIRECT($K$165),1,4),2,FALSE), 0)</f>
        <v>0</v>
      </c>
      <c r="I278" t="s">
        <v>492</v>
      </c>
    </row>
    <row r="279" spans="5:9" x14ac:dyDescent="0.25">
      <c r="E279" t="s">
        <v>493</v>
      </c>
      <c r="F279"/>
      <c r="G279" s="227" t="e">
        <f ca="1">ammoniaEmissionsBreakdown[[#This Row],[Emissions (kg CO2-e)]]/amm_quantityProduced_tonnes</f>
        <v>#DIV/0!</v>
      </c>
      <c r="H279" s="227">
        <f ca="1">conditioning_storage_emissions + IF(amm_integrated_facility="Yes", VLOOKUP(ammoniaEmissionsBreakdown[[#This Row],[Major category]],_xlfn.CHOOSECOLS(INDIRECT($K$165),1,4),2,FALSE), 0)</f>
        <v>0</v>
      </c>
      <c r="I279" t="s">
        <v>492</v>
      </c>
    </row>
    <row r="280" spans="5:9" x14ac:dyDescent="0.25">
      <c r="E280" t="s">
        <v>383</v>
      </c>
      <c r="F280"/>
      <c r="G280" s="227" t="e">
        <f>ammoniaEmissionsBreakdown[[#This Row],[Emissions (kg CO2-e)]]/amm_quantityProduced_tonnes</f>
        <v>#DIV/0!</v>
      </c>
      <c r="H280" s="227">
        <f>SUMIFS($AH$36:$AH$115,$AJ$36:$AJ$115,E280)+SUMIFS($AI$36:$AI$115,$AK$36:$AK$115,E280)</f>
        <v>0</v>
      </c>
      <c r="I280" t="s">
        <v>489</v>
      </c>
    </row>
    <row r="281" spans="5:9" x14ac:dyDescent="0.25">
      <c r="E281" t="s">
        <v>494</v>
      </c>
      <c r="F281"/>
      <c r="G281" s="227"/>
      <c r="H281" s="227">
        <f ca="1">('Transport - Conditioning'!$H$121+'Transport - Conditioning'!$H$122) + IF(amm_integrated_facility="Yes", VLOOKUP(ammoniaEmissionsBreakdown[[#This Row],[Major category]],_xlfn.CHOOSECOLS(INDIRECT($K$165),1,4),2,FALSE), 0)</f>
        <v>0</v>
      </c>
      <c r="I281" s="1118" t="s">
        <v>495</v>
      </c>
    </row>
    <row r="282" spans="5:9" x14ac:dyDescent="0.25">
      <c r="E282" t="s">
        <v>496</v>
      </c>
      <c r="F282"/>
      <c r="G282" s="227"/>
      <c r="H282" s="227">
        <f ca="1">'Transport - Conditioning'!$H$123 + IF(amm_integrated_facility="Yes", VLOOKUP(ammoniaEmissionsBreakdown[[#This Row],[Major category]],_xlfn.CHOOSECOLS(INDIRECT($K$165),1,4),2,FALSE), 0)</f>
        <v>0</v>
      </c>
      <c r="I282" s="1118" t="s">
        <v>495</v>
      </c>
    </row>
    <row r="283" spans="5:9" x14ac:dyDescent="0.25">
      <c r="E283"/>
      <c r="G283"/>
      <c r="H283"/>
      <c r="I283" s="1069" t="s">
        <v>839</v>
      </c>
    </row>
    <row r="284" spans="5:9" x14ac:dyDescent="0.25">
      <c r="E284"/>
      <c r="G284"/>
      <c r="H284"/>
    </row>
    <row r="285" spans="5:9" x14ac:dyDescent="0.25">
      <c r="E285"/>
      <c r="G285"/>
      <c r="H285"/>
    </row>
    <row r="286" spans="5:9" x14ac:dyDescent="0.25">
      <c r="E286"/>
      <c r="G286"/>
      <c r="H286"/>
    </row>
    <row r="287" spans="5:9" x14ac:dyDescent="0.25">
      <c r="E287"/>
      <c r="G287"/>
      <c r="H287"/>
    </row>
    <row r="288" spans="5:9" x14ac:dyDescent="0.25">
      <c r="E288"/>
      <c r="F288"/>
      <c r="G288"/>
      <c r="H288"/>
    </row>
    <row r="289" spans="5:8" x14ac:dyDescent="0.25">
      <c r="E289"/>
      <c r="F289"/>
      <c r="G289"/>
      <c r="H289"/>
    </row>
    <row r="290" spans="5:8" x14ac:dyDescent="0.25">
      <c r="E290"/>
      <c r="F290"/>
      <c r="G290"/>
      <c r="H290"/>
    </row>
    <row r="291" spans="5:8" x14ac:dyDescent="0.25">
      <c r="E291"/>
      <c r="F291"/>
      <c r="G291"/>
      <c r="H291"/>
    </row>
    <row r="292" spans="5:8" x14ac:dyDescent="0.25">
      <c r="E292"/>
      <c r="F292"/>
      <c r="G292"/>
      <c r="H292"/>
    </row>
    <row r="293" spans="5:8" x14ac:dyDescent="0.25">
      <c r="E293"/>
      <c r="F293"/>
      <c r="G293"/>
      <c r="H293"/>
    </row>
    <row r="294" spans="5:8" x14ac:dyDescent="0.25">
      <c r="E294"/>
      <c r="F294"/>
      <c r="G294"/>
      <c r="H294"/>
    </row>
    <row r="295" spans="5:8" x14ac:dyDescent="0.25">
      <c r="E295"/>
      <c r="F295"/>
      <c r="G295"/>
      <c r="H295"/>
    </row>
    <row r="296" spans="5:8" x14ac:dyDescent="0.25">
      <c r="E296"/>
      <c r="F296"/>
      <c r="G296"/>
      <c r="H296"/>
    </row>
    <row r="297" spans="5:8" x14ac:dyDescent="0.25">
      <c r="E297"/>
      <c r="F297"/>
      <c r="G297"/>
      <c r="H297"/>
    </row>
    <row r="298" spans="5:8" x14ac:dyDescent="0.25">
      <c r="E298"/>
      <c r="F298"/>
      <c r="G298"/>
      <c r="H298"/>
    </row>
    <row r="299" spans="5:8" x14ac:dyDescent="0.25">
      <c r="E299"/>
      <c r="F299"/>
      <c r="G299"/>
      <c r="H299"/>
    </row>
    <row r="300" spans="5:8" x14ac:dyDescent="0.25">
      <c r="E300"/>
      <c r="F300"/>
      <c r="G300"/>
      <c r="H300"/>
    </row>
    <row r="301" spans="5:8" x14ac:dyDescent="0.25">
      <c r="E301"/>
      <c r="F301"/>
      <c r="G301"/>
      <c r="H301"/>
    </row>
    <row r="302" spans="5:8" x14ac:dyDescent="0.25">
      <c r="E302"/>
      <c r="F302"/>
      <c r="G302"/>
      <c r="H302"/>
    </row>
    <row r="303" spans="5:8" x14ac:dyDescent="0.25">
      <c r="E303"/>
      <c r="F303"/>
      <c r="G303"/>
      <c r="H303"/>
    </row>
    <row r="304" spans="5:8" x14ac:dyDescent="0.25">
      <c r="E304"/>
      <c r="F304"/>
      <c r="G304"/>
      <c r="H304"/>
    </row>
    <row r="305" spans="5:8" x14ac:dyDescent="0.25">
      <c r="E305"/>
      <c r="F305"/>
      <c r="G305"/>
      <c r="H305"/>
    </row>
    <row r="306" spans="5:8" x14ac:dyDescent="0.25">
      <c r="E306"/>
      <c r="F306"/>
      <c r="G306"/>
      <c r="H306"/>
    </row>
    <row r="307" spans="5:8" x14ac:dyDescent="0.25">
      <c r="E307"/>
      <c r="F307"/>
      <c r="G307"/>
      <c r="H307"/>
    </row>
    <row r="308" spans="5:8" x14ac:dyDescent="0.25">
      <c r="E308"/>
      <c r="F308"/>
      <c r="G308"/>
      <c r="H308"/>
    </row>
  </sheetData>
  <sheetProtection selectLockedCells="1" selectUnlockedCells="1"/>
  <mergeCells count="29">
    <mergeCell ref="B3:Q3"/>
    <mergeCell ref="AL34:AL35"/>
    <mergeCell ref="AM34:AM35"/>
    <mergeCell ref="AH32:AM33"/>
    <mergeCell ref="I30:I31"/>
    <mergeCell ref="AH34:AH35"/>
    <mergeCell ref="AI34:AI35"/>
    <mergeCell ref="AJ34:AJ35"/>
    <mergeCell ref="AK34:AK35"/>
    <mergeCell ref="AA190:AB190"/>
    <mergeCell ref="H39:H40"/>
    <mergeCell ref="H65:H66"/>
    <mergeCell ref="H74:H75"/>
    <mergeCell ref="H134:H135"/>
    <mergeCell ref="Y203:Z203"/>
    <mergeCell ref="H83:J83"/>
    <mergeCell ref="I84:I85"/>
    <mergeCell ref="J84:J85"/>
    <mergeCell ref="K84:K85"/>
    <mergeCell ref="AA191:AB191"/>
    <mergeCell ref="Y199:Z199"/>
    <mergeCell ref="AA200:AB200"/>
    <mergeCell ref="AA201:AB201"/>
    <mergeCell ref="AA202:AB202"/>
    <mergeCell ref="Y204:Z204"/>
    <mergeCell ref="Y213:Z213"/>
    <mergeCell ref="Y214:Z214"/>
    <mergeCell ref="Y227:Z227"/>
    <mergeCell ref="Y228:Z228"/>
  </mergeCells>
  <phoneticPr fontId="3" type="noConversion"/>
  <conditionalFormatting sqref="C14">
    <cfRule type="expression" dxfId="181" priority="8">
      <formula>$E$13="Yes"</formula>
    </cfRule>
  </conditionalFormatting>
  <conditionalFormatting sqref="C15:C16">
    <cfRule type="expression" dxfId="180" priority="7">
      <formula>$E$14="Yes"</formula>
    </cfRule>
    <cfRule type="expression" dxfId="179" priority="14">
      <formula>$E$13="Yes"</formula>
    </cfRule>
  </conditionalFormatting>
  <conditionalFormatting sqref="E14">
    <cfRule type="expression" dxfId="178" priority="9">
      <formula>$E$13="Yes"</formula>
    </cfRule>
  </conditionalFormatting>
  <conditionalFormatting sqref="E15">
    <cfRule type="expression" dxfId="177" priority="3">
      <formula>AND($E$14="Yes",$E$13="No")</formula>
    </cfRule>
  </conditionalFormatting>
  <conditionalFormatting sqref="E15:F16">
    <cfRule type="expression" dxfId="176" priority="5">
      <formula>$E$14="Yes"</formula>
    </cfRule>
    <cfRule type="expression" dxfId="175" priority="12">
      <formula>$E$13="Yes"</formula>
    </cfRule>
  </conditionalFormatting>
  <conditionalFormatting sqref="H87:H91">
    <cfRule type="expression" dxfId="174" priority="23">
      <formula>AND(NOT(ISNUMBER(AB87)),$F87&lt;&gt;"")</formula>
    </cfRule>
  </conditionalFormatting>
  <conditionalFormatting sqref="I39:I40">
    <cfRule type="expression" dxfId="173" priority="39">
      <formula>($H$42&lt;&gt;"")</formula>
    </cfRule>
  </conditionalFormatting>
  <conditionalFormatting sqref="I42">
    <cfRule type="expression" dxfId="172" priority="38">
      <formula>($H$42&lt;&gt;"")</formula>
    </cfRule>
  </conditionalFormatting>
  <conditionalFormatting sqref="K87:K91">
    <cfRule type="expression" dxfId="161" priority="21">
      <formula>AND(NOT(ISNUMBER($AA87)),$F87&lt;&gt;"")</formula>
    </cfRule>
  </conditionalFormatting>
  <conditionalFormatting sqref="N16:P17">
    <cfRule type="expression" dxfId="160" priority="2">
      <formula>$E$13="Yes"</formula>
    </cfRule>
  </conditionalFormatting>
  <conditionalFormatting sqref="O10">
    <cfRule type="expression" dxfId="159" priority="1">
      <formula>$E$13="Yes"</formula>
    </cfRule>
  </conditionalFormatting>
  <dataValidations count="25">
    <dataValidation type="decimal" operator="greaterThanOrEqual" allowBlank="1" showInputMessage="1" showErrorMessage="1" prompt="Value must be entered to use default emission factor" sqref="I42" xr:uid="{A3C02C46-4432-4DB9-AE45-39DD86968896}">
      <formula1>0</formula1>
    </dataValidation>
    <dataValidation allowBlank="1" showInputMessage="1" showErrorMessage="1" prompt="Leave blank to use default value" sqref="H42" xr:uid="{474AB5AF-7D3B-4C7C-BAB7-D632AC44C873}"/>
    <dataValidation type="decimal" operator="greaterThanOrEqual" allowBlank="1" showInputMessage="1" showErrorMessage="1" prompt="Leave blank to use default value" sqref="I33:I35" xr:uid="{707C4833-EDA4-4F52-A463-C222BF040CD8}">
      <formula1>0</formula1>
    </dataValidation>
    <dataValidation type="decimal" operator="greaterThanOrEqual" showInputMessage="1" showErrorMessage="1" sqref="E128" xr:uid="{25A8C87B-F2A7-4083-9A18-4382ABE4576E}">
      <formula1>0</formula1>
    </dataValidation>
    <dataValidation type="decimal" showInputMessage="1" showErrorMessage="1" error="Quantity sold must be equal to or less than quantity produced." sqref="F138" xr:uid="{EFBDC347-826B-46AE-8550-DBB21B309685}">
      <formula1>0</formula1>
      <formula2>E138</formula2>
    </dataValidation>
    <dataValidation type="decimal" operator="greaterThanOrEqual" allowBlank="1" showInputMessage="1" showErrorMessage="1" prompt="If no bespoke factor is entered a default will be selected._x000a__x000a_Note no defaults exist for some fuels. Cell will appear red if no default exists_x000a_" sqref="K87:K91" xr:uid="{A0BAB2D4-7B9F-4659-947B-9B5D990B68A1}">
      <formula1>0</formula1>
    </dataValidation>
    <dataValidation allowBlank="1" showInputMessage="1" showErrorMessage="1" prompt="Inputs may include chemicals, materials, etc." sqref="E77" xr:uid="{29341B65-F28E-4FA6-94ED-D1C1D1825221}"/>
    <dataValidation allowBlank="1" showInputMessage="1" showErrorMessage="1" prompt="i.e. river water, groundwater, etc." sqref="E42" xr:uid="{83A50298-63BE-4278-9092-19A44CB9BF32}"/>
    <dataValidation type="decimal" operator="greaterThanOrEqual" allowBlank="1" showInputMessage="1" showErrorMessage="1" prompt="Leave blank to use default value." sqref="H68:H70" xr:uid="{72885183-454B-4407-AB55-FA09514260EF}">
      <formula1>0</formula1>
    </dataValidation>
    <dataValidation type="decimal" operator="greaterThan" allowBlank="1" showInputMessage="1" showErrorMessage="1" prompt="If no bespoke factor entered, a default will be selected." sqref="I87:J91" xr:uid="{7881715A-8DD6-4314-A21B-DE4EA263EBB7}">
      <formula1>0</formula1>
    </dataValidation>
    <dataValidation type="decimal" operator="greaterThanOrEqual" allowBlank="1" showInputMessage="1" showErrorMessage="1" sqref="F42 G87:G91 G111:G114 J33:J35 E121 F154:F155 G98:G104 F77:F80 E129:E130 H77:H80 G33:G35 E138 F68:F70" xr:uid="{8F54DBBE-A76C-4371-A83F-5D118AA8D53F}">
      <formula1>0</formula1>
    </dataValidation>
    <dataValidation allowBlank="1" showInputMessage="1" showErrorMessage="1" prompt="Enter percentage (%) purity at gate" sqref="E25" xr:uid="{318CBDE7-2A34-4F9E-B387-351C4C68F483}"/>
    <dataValidation type="decimal" operator="greaterThan" allowBlank="1" showInputMessage="1" showErrorMessage="1" sqref="E16" xr:uid="{EA297102-8005-470C-B58A-2F388D775B0D}">
      <formula1>0</formula1>
    </dataValidation>
    <dataValidation type="decimal" operator="greaterThanOrEqual" allowBlank="1" showInputMessage="1" showErrorMessage="1" prompt="Leave blank to use default value._x000a_" sqref="H137" xr:uid="{8FEED001-7FA9-42B9-A5B8-ADABE3014A73}">
      <formula1>0</formula1>
    </dataValidation>
    <dataValidation allowBlank="1" showDropDown="1" showInputMessage="1" showErrorMessage="1" sqref="C49:C50 C53 AD49:AD52 AE53" xr:uid="{E51162D1-67CC-4BA8-AD9B-4271DC299D66}"/>
    <dataValidation type="decimal" operator="greaterThanOrEqual" showInputMessage="1" showErrorMessage="1" error="Quantity sold must be greater than or equal to 0." sqref="F128:F130" xr:uid="{230FAA0F-44EE-4507-86F1-C9B0EAD6B398}">
      <formula1>0</formula1>
    </dataValidation>
    <dataValidation type="decimal" operator="greaterThanOrEqual" allowBlank="1" showErrorMessage="1" error="Value must be greater than or equal to zero." sqref="E12 E15 E23" xr:uid="{FB332F6F-0658-4E95-A3A4-016A3929F76D}">
      <formula1>0</formula1>
    </dataValidation>
    <dataValidation allowBlank="1" showInputMessage="1" showErrorMessage="1" prompt="Enter contaminant information, i.e. type and concentration" sqref="E26" xr:uid="{85C439B6-9810-46F3-B330-E98C0EEAE83E}"/>
    <dataValidation type="decimal" operator="greaterThanOrEqual" allowBlank="1" showInputMessage="1" showErrorMessage="1" error="Value must be greater than or equal to zero." prompt="Input total quantity of steam produced via a Combined Heat and Power system consumed by this process. Value must be less than or equal to the total steam produced via CHP input into 'Electricity Usage' tab." sqref="E60" xr:uid="{19220921-D9C2-40AF-9A39-52E77963EB32}">
      <formula1>0</formula1>
    </dataValidation>
    <dataValidation type="decimal" operator="greaterThanOrEqual" allowBlank="1" showInputMessage="1" showErrorMessage="1" error="Value must be greater than or equal to zero." prompt="Input total electricity consumption allocated to this process from all electricity sources" sqref="E49" xr:uid="{3ECDA4D1-C69A-468F-9F6E-B42D0B17B6C8}">
      <formula1>0</formula1>
    </dataValidation>
    <dataValidation type="decimal" operator="greaterThanOrEqual" allowBlank="1" showInputMessage="1" showErrorMessage="1" error="Value must be greater than or equal to zero." prompt="Input total quantity of renewable electricity allocated to this process. Value must be less than or equal to the total renewable electricity input into 'Electricity Usage' tab." sqref="E50" xr:uid="{70799CEA-EBB2-45E2-883B-3E4000E49F4F}">
      <formula1>0</formula1>
    </dataValidation>
    <dataValidation type="decimal" operator="greaterThanOrEqual" allowBlank="1" showInputMessage="1" showErrorMessage="1" error="Value must be greater than or equal to zero." prompt="Input total quantity of grid electricity allocated to this process. Value must be less than or equal to the total grid electricity input into 'Electricity Usage' tab." sqref="E52" xr:uid="{E68609A8-CE9E-4844-84DE-75890DD327F4}">
      <formula1>0</formula1>
    </dataValidation>
    <dataValidation type="decimal" operator="greaterThanOrEqual" allowBlank="1" showInputMessage="1" showErrorMessage="1" error="Value must be greater than or equal to zero." prompt="Input total quantity of onsite electricity generated via fuel combustion allocated to this process. Value must be less than or equal to the total input into 'Electricity Usage' tab." sqref="E53" xr:uid="{B0756904-950F-4673-83C7-712C191C58E3}">
      <formula1>0</formula1>
    </dataValidation>
    <dataValidation allowBlank="1" showInputMessage="1" showErrorMessage="1" prompt="Note: All Co-Product names must be unique." sqref="C145:C147" xr:uid="{02CE288B-BC79-4F63-A96B-691937961F27}"/>
    <dataValidation type="list" allowBlank="1" showInputMessage="1" showErrorMessage="1" sqref="F49:F50 F52:F53" xr:uid="{F7D70AF0-B892-4B30-89C3-5A04E2DCE427}">
      <formula1>Energy_Units_Options</formula1>
    </dataValidation>
  </dataValidations>
  <pageMargins left="0.7" right="0.7" top="0.75" bottom="0.75" header="0.3" footer="0.3"/>
  <pageSetup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30" id="{D5E60A01-CB21-4E24-9CCD-0E12B2753BB2}">
            <xm:f>OR((OR(($F33='Key Values'!$B$26),($F33='Key Values'!$B$27))),(OR(($F34='Key Values'!$B$26),($F34='Key Values'!$B$27))),(OR(($F35='Key Values'!$B$26),($F35='Key Values'!$B$27))))</xm:f>
            <x14:dxf>
              <font>
                <color auto="1"/>
              </font>
              <fill>
                <patternFill patternType="solid">
                  <bgColor rgb="FF00A7D3"/>
                </patternFill>
              </fill>
            </x14:dxf>
          </x14:cfRule>
          <xm:sqref>J31</xm:sqref>
        </x14:conditionalFormatting>
        <x14:conditionalFormatting xmlns:xm="http://schemas.microsoft.com/office/excel/2006/main">
          <x14:cfRule type="expression" priority="34" id="{0DDCF9F3-6ACC-404D-B524-D5C088502722}">
            <xm:f>OR(($F33='Key Values'!$B$26),($F33='Key Values'!$B$27))</xm:f>
            <x14:dxf>
              <border>
                <top style="thin">
                  <color auto="1"/>
                </top>
                <bottom/>
                <vertical/>
                <horizontal/>
              </border>
            </x14:dxf>
          </x14:cfRule>
          <xm:sqref>J33</xm:sqref>
        </x14:conditionalFormatting>
        <x14:conditionalFormatting xmlns:xm="http://schemas.microsoft.com/office/excel/2006/main">
          <x14:cfRule type="expression" priority="37" id="{658F2684-56D4-40EB-81D2-5F31F25E23E6}">
            <xm:f>OR(($F33='Key Values'!$B$26),($F33='Key Values'!$B$27))</xm:f>
            <x14:dxf>
              <font>
                <color auto="1"/>
              </font>
              <fill>
                <patternFill>
                  <bgColor theme="5" tint="0.59996337778862885"/>
                </patternFill>
              </fill>
              <border>
                <left style="hair">
                  <color auto="1"/>
                </left>
                <right style="thin">
                  <color auto="1"/>
                </right>
                <top/>
                <bottom/>
              </border>
            </x14:dxf>
          </x14:cfRule>
          <xm:sqref>J33:J35</xm:sqref>
        </x14:conditionalFormatting>
        <x14:conditionalFormatting xmlns:xm="http://schemas.microsoft.com/office/excel/2006/main">
          <x14:cfRule type="expression" priority="28" id="{EB6A5C70-247D-4AA5-98FC-75953E707B1C}">
            <xm:f>AND(NOT(OR(($F35='Key Values'!$B$26),($F35='Key Values'!$B$27))),OR(($F34='Key Values'!$B$26),($F34='Key Values'!$B$27)))</xm:f>
            <x14:dxf>
              <border>
                <bottom style="thin">
                  <color auto="1"/>
                </bottom>
                <vertical/>
                <horizontal/>
              </border>
            </x14:dxf>
          </x14:cfRule>
          <x14:cfRule type="expression" priority="29" id="{88DB0F21-8C59-42E3-B16C-B09A20E88A77}">
            <xm:f>AND(NOT(OR(($F33='Key Values'!$B$26),($F33='Key Values'!$B$27))),OR(($F34='Key Values'!$B$26),($F34='Key Values'!$B$27)))</xm:f>
            <x14:dxf>
              <border>
                <top style="thin">
                  <color auto="1"/>
                </top>
                <vertical/>
                <horizontal/>
              </border>
            </x14:dxf>
          </x14:cfRule>
          <x14:cfRule type="expression" priority="31" id="{07A3AB8C-5316-4ACB-91E5-D369EE6533B7}">
            <xm:f>AND(NOT(OR(($F34='Key Values'!$B$26),($F34='Key Values'!$B$27))),OR(($F33='Key Values'!$B$26),($F33='Key Values'!$B$27)))</xm:f>
            <x14:dxf>
              <border>
                <top style="thin">
                  <color auto="1"/>
                </top>
                <vertical/>
                <horizontal/>
              </border>
            </x14:dxf>
          </x14:cfRule>
          <x14:cfRule type="expression" priority="32" id="{8545C199-53D0-4726-8D2B-C5E861FFC18E}">
            <xm:f>AND(NOT(OR(($F34='Key Values'!$B$26),($F34='Key Values'!$B$27))),OR(($F35='Key Values'!$B$26),($F35='Key Values'!$B$27)))</xm:f>
            <x14:dxf>
              <border>
                <bottom style="thin">
                  <color auto="1"/>
                </bottom>
                <vertical/>
                <horizontal/>
              </border>
            </x14:dxf>
          </x14:cfRule>
          <x14:cfRule type="expression" priority="33" id="{2CFD6631-5F3B-403D-9E06-164F65FD1B15}">
            <xm:f>AND(OR(($F33='Key Values'!$B$26),($F33='Key Values'!$B$27)),OR(($F34='Key Values'!$B$26),($F34='Key Values'!$B$27)))</xm:f>
            <x14:dxf>
              <border>
                <top style="hair">
                  <color auto="1"/>
                </top>
                <vertical/>
                <horizontal/>
              </border>
            </x14:dxf>
          </x14:cfRule>
          <x14:cfRule type="expression" priority="35" id="{82B64A75-44DC-451D-9B7B-9862A7A307A8}">
            <xm:f>AND(OR(($F34='Key Values'!$B$26),($F34='Key Values'!$B$27)),OR(($F35='Key Values'!$B$26),($F35='Key Values'!$B$27)))</xm:f>
            <x14:dxf>
              <border>
                <bottom style="hair">
                  <color auto="1"/>
                </bottom>
                <vertical/>
                <horizontal/>
              </border>
            </x14:dxf>
          </x14:cfRule>
          <xm:sqref>J34</xm:sqref>
        </x14:conditionalFormatting>
        <x14:conditionalFormatting xmlns:xm="http://schemas.microsoft.com/office/excel/2006/main">
          <x14:cfRule type="expression" priority="36" id="{627466F7-64AF-4B96-A42A-C3FE563FFC31}">
            <xm:f>OR(($F35='Key Values'!$B$26),($F35='Key Values'!$B$27))</xm:f>
            <x14:dxf>
              <border>
                <bottom style="thin">
                  <color auto="1"/>
                </bottom>
                <vertical/>
                <horizontal/>
              </border>
            </x14:dxf>
          </x14:cfRule>
          <xm:sqref>J35</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698C0CB5-ACE7-436A-907B-6E7F8EE1CFB7}">
          <x14:formula1>
            <xm:f>'Hidden Lists and Summaries'!$B$29:$B$34</xm:f>
          </x14:formula1>
          <xm:sqref>G77:G80 G145:G147</xm:sqref>
        </x14:dataValidation>
        <x14:dataValidation type="list" allowBlank="1" showInputMessage="1" showErrorMessage="1" xr:uid="{394B5CAE-B8BC-4C74-98E9-BCBDE432C9D5}">
          <x14:formula1>
            <xm:f>'Hidden Lists and Summaries'!$B$5:$B$9</xm:f>
          </x14:formula1>
          <xm:sqref>F111:F114</xm:sqref>
        </x14:dataValidation>
        <x14:dataValidation type="list" allowBlank="1" showInputMessage="1" showErrorMessage="1" xr:uid="{54940A74-E20A-4A54-8564-9650520C6720}">
          <x14:formula1>
            <xm:f>'Key Values'!$B$35:$B$37</xm:f>
          </x14:formula1>
          <xm:sqref>E87:E91</xm:sqref>
        </x14:dataValidation>
        <x14:dataValidation type="list" allowBlank="1" showInputMessage="1" showErrorMessage="1" xr:uid="{DA3DFA0F-D61E-4DA1-8B56-CF71E2E12684}">
          <x14:formula1>
            <xm:f>'Key Values'!$B$20:$B$27</xm:f>
          </x14:formula1>
          <xm:sqref>F33:F35</xm:sqref>
        </x14:dataValidation>
        <x14:dataValidation type="list" allowBlank="1" showDropDown="1" showInputMessage="1" showErrorMessage="1" xr:uid="{54DD0260-0226-4B70-937E-D7C791414439}">
          <x14:formula1>
            <xm:f>'Key Values'!$B$303</xm:f>
          </x14:formula1>
          <xm:sqref>F121</xm:sqref>
        </x14:dataValidation>
        <x14:dataValidation type="list" allowBlank="1" showInputMessage="1" showErrorMessage="1" xr:uid="{18E64B59-B050-41D8-99EB-DF7AE81C69E9}">
          <x14:formula1>
            <xm:f>'Key Values'!$B$291:$B$292</xm:f>
          </x14:formula1>
          <xm:sqref>G128:G130 G68:G70 H98:H104 F12 F23 F15 G138 F60</xm:sqref>
        </x14:dataValidation>
        <x14:dataValidation type="list" allowBlank="1" showInputMessage="1" showErrorMessage="1" xr:uid="{402C9D35-A20B-49D0-AE23-B13B1E719277}">
          <x14:formula1>
            <xm:f>'Key Values'!$B$313:$B$317</xm:f>
          </x14:formula1>
          <xm:sqref>G42 H33:H35</xm:sqref>
        </x14:dataValidation>
        <x14:dataValidation type="list" allowBlank="1" showInputMessage="1" showErrorMessage="1" xr:uid="{158ED431-E823-48AA-97C7-F9B1E467AC46}">
          <x14:formula1>
            <xm:f>'Key Values'!$B$302:$B$303</xm:f>
          </x14:formula1>
          <xm:sqref>I137</xm:sqref>
        </x14:dataValidation>
        <x14:dataValidation type="list" allowBlank="1" showDropDown="1" showInputMessage="1" showErrorMessage="1" xr:uid="{78847728-C836-409E-8E44-701E38C31A1F}">
          <x14:formula1>
            <xm:f>'Key Values'!$B$291</xm:f>
          </x14:formula1>
          <xm:sqref>G154:G155</xm:sqref>
        </x14:dataValidation>
        <x14:dataValidation type="list" allowBlank="1" showInputMessage="1" showErrorMessage="1" xr:uid="{A6E31B8F-CC87-4326-B960-747C600CE05C}">
          <x14:formula1>
            <xm:f>'Hidden Lists and Summaries'!$B$151:$B$152</xm:f>
          </x14:formula1>
          <xm:sqref>E13:E14</xm:sqref>
        </x14:dataValidation>
        <x14:dataValidation type="list" allowBlank="1" showInputMessage="1" showErrorMessage="1" xr:uid="{E8C4AF6E-536D-49CA-B40C-4EBCD47724E4}">
          <x14:formula1>
            <xm:f>'Key Values'!$B$189:$B$192</xm:f>
          </x14:formula1>
          <xm:sqref>E98:E104</xm:sqref>
        </x14:dataValidation>
        <x14:dataValidation type="list" allowBlank="1" showInputMessage="1" showErrorMessage="1" xr:uid="{17013EBF-9D6F-474A-9CB0-BE3D19DB71A5}">
          <x14:formula1>
            <xm:f>IF($E$101='Key Values'!$B$192,'Key Values'!$B$221,'Key Values'!$B$222:$B$234)</xm:f>
          </x14:formula1>
          <xm:sqref>F101</xm:sqref>
        </x14:dataValidation>
        <x14:dataValidation type="list" allowBlank="1" showInputMessage="1" showErrorMessage="1" xr:uid="{7B38D576-3A5D-45B9-92D1-F95FA3674964}">
          <x14:formula1>
            <xm:f>IF($E$98='Key Values'!$B$192,'Key Values'!$B$221,'Key Values'!$B$222:$B$234)</xm:f>
          </x14:formula1>
          <xm:sqref>F98</xm:sqref>
        </x14:dataValidation>
        <x14:dataValidation type="list" allowBlank="1" showInputMessage="1" showErrorMessage="1" xr:uid="{40AB1960-2C8E-4ECE-B5DA-A573C69C0FDF}">
          <x14:formula1>
            <xm:f>IF($E$99='Key Values'!$B$192,'Key Values'!$B$221,'Key Values'!$B$222:$B$234)</xm:f>
          </x14:formula1>
          <xm:sqref>F99</xm:sqref>
        </x14:dataValidation>
        <x14:dataValidation type="list" allowBlank="1" showInputMessage="1" showErrorMessage="1" xr:uid="{9DA93417-91E0-4870-9B21-0B34BD7D1A34}">
          <x14:formula1>
            <xm:f>IF($E$100='Key Values'!$B$192,'Key Values'!$B$221,'Key Values'!$B$222:$B$234)</xm:f>
          </x14:formula1>
          <xm:sqref>F100</xm:sqref>
        </x14:dataValidation>
        <x14:dataValidation type="list" allowBlank="1" showInputMessage="1" showErrorMessage="1" xr:uid="{BD2989CA-DB8A-4C69-967A-F0AC31862F93}">
          <x14:formula1>
            <xm:f>IF($E$102='Key Values'!$B$192,'Key Values'!$B$221,'Key Values'!$B$222:$B$234)</xm:f>
          </x14:formula1>
          <xm:sqref>F102</xm:sqref>
        </x14:dataValidation>
        <x14:dataValidation type="list" allowBlank="1" showInputMessage="1" showErrorMessage="1" xr:uid="{52CCEC6A-2BB5-465D-9CB2-AB2FA0409D55}">
          <x14:formula1>
            <xm:f>IF($E$103='Key Values'!$B$192,'Key Values'!$B$221,'Key Values'!$B$222:$B$234)</xm:f>
          </x14:formula1>
          <xm:sqref>F103</xm:sqref>
        </x14:dataValidation>
        <x14:dataValidation type="list" allowBlank="1" showInputMessage="1" showErrorMessage="1" xr:uid="{7585E066-042B-4826-8DAD-50CFDDA37112}">
          <x14:formula1>
            <xm:f>IF($E$104='Key Values'!$B$192,'Key Values'!$B$221,'Key Values'!$B$222:$B$234)</xm:f>
          </x14:formula1>
          <xm:sqref>F104</xm:sqref>
        </x14:dataValidation>
        <x14:dataValidation type="list" allowBlank="1" showInputMessage="1" showErrorMessage="1" xr:uid="{1839AA47-4554-4FA2-812B-9877DC78A771}">
          <x14:formula1>
            <xm:f>'Key Values'!$B$209:$B$217</xm:f>
          </x14:formula1>
          <xm:sqref>I68:I70</xm:sqref>
        </x14:dataValidation>
        <x14:dataValidation type="list" operator="greaterThan" allowBlank="1" showInputMessage="1" showErrorMessage="1" xr:uid="{2832DB04-3B9D-48BA-8AD9-2893B44CFBF4}">
          <x14:formula1>
            <xm:f>'Key Values'!$B$197:$B$204</xm:f>
          </x14:formula1>
          <xm:sqref>J68:J70 H128:H130</xm:sqref>
        </x14:dataValidation>
        <x14:dataValidation type="list" allowBlank="1" showInputMessage="1" showErrorMessage="1" xr:uid="{F1148AFD-D993-431D-BB78-78BABF771478}">
          <x14:formula1>
            <xm:f>IF(E87="Solid Fuel", 'Key Values'!$B$41:$B$58,IF(E87="Gaseous Fuel",'Key Values'!$B$72:$B$85,'Key Values'!$B$101:$B$120))</xm:f>
          </x14:formula1>
          <xm:sqref>F87:F91</xm:sqref>
        </x14:dataValidation>
        <x14:dataValidation type="list" allowBlank="1" showInputMessage="1" showErrorMessage="1" prompt="Cell will appear red if incompatible unit is selected" xr:uid="{CA30A915-F222-4F7A-8E50-B7FC1F4C76D2}">
          <x14:formula1>
            <xm:f>IF(OR(AND(E87="Liquid Fuel", _xlfn.IFNA(VLOOKUP(F87,'Key Values'!$B$101:$H$120,3,FALSE)="GJ/t", FALSE) ),E87="Solid Fuel"),'Key Values'!$B$291:$B$292, 'Key Values'!$B$296:$B$298)</xm:f>
          </x14:formula1>
          <xm:sqref>H87:H91</xm:sqref>
        </x14:dataValidation>
        <x14:dataValidation type="list" allowBlank="1" showInputMessage="1" showErrorMessage="1" xr:uid="{AB5554D9-017E-4D0A-BD78-47B8A12BC7AE}">
          <x14:formula1>
            <xm:f>'Key Values'!B$291:B$292</xm:f>
          </x14:formula1>
          <xm:sqref>H111:H114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FBAA-A571-482B-BCA2-925CEE52CEC7}">
  <sheetPr codeName="Sheet1">
    <tabColor theme="4" tint="0.39997558519241921"/>
  </sheetPr>
  <dimension ref="A1:AQ296"/>
  <sheetViews>
    <sheetView showGridLines="0" zoomScale="70" zoomScaleNormal="70" workbookViewId="0">
      <selection activeCell="C47" sqref="C47"/>
    </sheetView>
  </sheetViews>
  <sheetFormatPr defaultColWidth="8.54296875" defaultRowHeight="15.5" x14ac:dyDescent="0.25"/>
  <cols>
    <col min="1" max="1" width="4.54296875" style="43" customWidth="1"/>
    <col min="2" max="2" width="3.54296875" style="43" customWidth="1"/>
    <col min="3" max="3" width="54" style="43" customWidth="1"/>
    <col min="4" max="4" width="4.54296875" style="43" customWidth="1"/>
    <col min="5" max="11" width="40.54296875" style="43" customWidth="1"/>
    <col min="12" max="13" width="11.81640625" style="43" customWidth="1"/>
    <col min="14" max="14" width="28.1796875" style="43" customWidth="1"/>
    <col min="15" max="15" width="29.453125" style="43" customWidth="1"/>
    <col min="16" max="16" width="5.81640625" style="43" customWidth="1"/>
    <col min="17" max="18" width="8.54296875" style="43" customWidth="1"/>
    <col min="19" max="19" width="15.54296875" style="43" customWidth="1"/>
    <col min="20" max="21" width="8.54296875" style="43" customWidth="1"/>
    <col min="22" max="22" width="14.453125" style="43" customWidth="1"/>
    <col min="23" max="23" width="8.54296875" style="43" customWidth="1"/>
    <col min="24" max="24" width="14.1796875" style="43" customWidth="1"/>
    <col min="25" max="29" width="50.54296875" style="43" customWidth="1"/>
    <col min="30" max="30" width="20.453125" style="43" customWidth="1"/>
    <col min="31" max="31" width="19.453125" style="43" customWidth="1"/>
    <col min="32" max="32" width="30.54296875" style="43" bestFit="1" customWidth="1"/>
    <col min="33" max="33" width="8.54296875" style="43" customWidth="1"/>
    <col min="34" max="34" width="21.1796875" style="43" customWidth="1"/>
    <col min="35" max="35" width="18" style="43" customWidth="1"/>
    <col min="36" max="36" width="29.54296875" style="43" customWidth="1"/>
    <col min="37" max="37" width="34.54296875" style="43" customWidth="1"/>
    <col min="38" max="16384" width="8.54296875" style="43"/>
  </cols>
  <sheetData>
    <row r="1" spans="2:33" ht="33" customHeight="1" x14ac:dyDescent="0.25"/>
    <row r="2" spans="2:33" ht="309" customHeight="1" x14ac:dyDescent="0.25"/>
    <row r="3" spans="2:33" ht="39" customHeight="1" x14ac:dyDescent="0.25">
      <c r="B3" s="1884" t="s">
        <v>175</v>
      </c>
      <c r="C3" s="1884"/>
      <c r="D3" s="1884"/>
      <c r="E3" s="1884"/>
      <c r="F3" s="1884"/>
      <c r="G3" s="1884"/>
      <c r="H3" s="1884"/>
      <c r="I3" s="1884"/>
      <c r="J3" s="1884"/>
      <c r="K3" s="1884"/>
      <c r="L3" s="1884"/>
      <c r="M3" s="1884"/>
      <c r="N3" s="1884"/>
      <c r="O3" s="1884"/>
      <c r="P3" s="1884"/>
      <c r="Q3" s="1884"/>
    </row>
    <row r="4" spans="2:33" ht="15.65" customHeight="1" x14ac:dyDescent="0.25">
      <c r="B4" s="44"/>
      <c r="C4" s="44"/>
      <c r="D4" s="44"/>
      <c r="E4" s="44"/>
      <c r="F4" s="44"/>
      <c r="G4" s="44"/>
      <c r="H4" s="44"/>
      <c r="I4" s="44"/>
      <c r="J4" s="44"/>
      <c r="K4" s="44"/>
      <c r="L4" s="44"/>
      <c r="M4" s="44"/>
      <c r="N4" s="44"/>
      <c r="O4" s="44"/>
      <c r="P4" s="44"/>
      <c r="Q4" s="44"/>
      <c r="Y4" s="276"/>
      <c r="Z4" s="277"/>
      <c r="AA4" s="277"/>
      <c r="AB4" s="277"/>
      <c r="AC4" s="277"/>
      <c r="AD4" s="277"/>
      <c r="AE4" s="342"/>
      <c r="AF4" s="277"/>
      <c r="AG4" s="342"/>
    </row>
    <row r="5" spans="2:33" ht="15.65" customHeight="1" x14ac:dyDescent="0.25">
      <c r="B5" s="44"/>
      <c r="C5" s="45" t="s">
        <v>840</v>
      </c>
      <c r="D5" s="44"/>
      <c r="E5" s="44"/>
      <c r="F5" s="44"/>
      <c r="G5" s="44"/>
      <c r="H5" s="44"/>
      <c r="I5" s="44"/>
      <c r="J5" s="44"/>
      <c r="K5" s="44"/>
      <c r="L5" s="44"/>
      <c r="M5" s="44"/>
      <c r="N5" s="44"/>
      <c r="O5" s="44"/>
      <c r="P5" s="44"/>
      <c r="Q5" s="44"/>
      <c r="Y5" s="279" t="s">
        <v>72</v>
      </c>
      <c r="Z5" s="280"/>
      <c r="AA5" s="280"/>
      <c r="AB5" s="280"/>
      <c r="AC5" s="280"/>
      <c r="AD5" s="280"/>
      <c r="AE5" s="292"/>
      <c r="AF5" s="280"/>
      <c r="AG5" s="292"/>
    </row>
    <row r="6" spans="2:33" ht="15.65" customHeight="1" x14ac:dyDescent="0.25">
      <c r="B6" s="44"/>
      <c r="C6" s="44"/>
      <c r="D6" s="44"/>
      <c r="E6" s="44"/>
      <c r="F6" s="44"/>
      <c r="G6" s="44"/>
      <c r="H6" s="44"/>
      <c r="I6" s="44"/>
      <c r="J6" s="44"/>
      <c r="K6" s="44"/>
      <c r="L6" s="44"/>
      <c r="M6" s="44"/>
      <c r="N6" s="44"/>
      <c r="O6" s="44"/>
      <c r="P6" s="44"/>
      <c r="Q6" s="44"/>
      <c r="Y6" s="281"/>
      <c r="Z6" s="280"/>
      <c r="AA6" s="280"/>
      <c r="AB6" s="280"/>
      <c r="AC6" s="280"/>
      <c r="AD6" s="280"/>
      <c r="AE6" s="292"/>
      <c r="AF6" s="280"/>
      <c r="AG6" s="292"/>
    </row>
    <row r="7" spans="2:33" ht="15.65" customHeight="1" x14ac:dyDescent="0.25">
      <c r="Y7" s="263"/>
      <c r="Z7" s="91"/>
      <c r="AA7" s="91"/>
      <c r="AB7" s="91"/>
      <c r="AC7" s="91"/>
      <c r="AD7" s="91"/>
      <c r="AE7" s="91"/>
      <c r="AF7" s="91"/>
      <c r="AG7" s="218"/>
    </row>
    <row r="8" spans="2:33" ht="15.65" customHeight="1" x14ac:dyDescent="0.25">
      <c r="B8" s="121"/>
      <c r="C8" s="122"/>
      <c r="D8" s="122"/>
      <c r="E8" s="122"/>
      <c r="F8" s="122"/>
      <c r="G8" s="122"/>
      <c r="H8" s="122"/>
      <c r="I8" s="122"/>
      <c r="J8" s="122"/>
      <c r="K8" s="122"/>
      <c r="L8" s="122"/>
      <c r="M8" s="122"/>
      <c r="N8" s="122"/>
      <c r="O8" s="122"/>
      <c r="P8" s="122"/>
      <c r="Q8" s="123"/>
      <c r="Y8" s="263"/>
      <c r="Z8" s="91"/>
      <c r="AA8" s="91"/>
      <c r="AB8" s="91"/>
      <c r="AC8" s="91"/>
      <c r="AD8" s="91"/>
      <c r="AE8" s="91"/>
      <c r="AF8" s="91"/>
      <c r="AG8" s="218"/>
    </row>
    <row r="9" spans="2:33" ht="15.65" customHeight="1" x14ac:dyDescent="0.25">
      <c r="B9" s="124"/>
      <c r="C9" s="125" t="s">
        <v>30</v>
      </c>
      <c r="D9" s="126"/>
      <c r="E9" s="126"/>
      <c r="F9" s="126"/>
      <c r="G9" s="126"/>
      <c r="H9" s="126"/>
      <c r="I9" s="126"/>
      <c r="J9" s="126"/>
      <c r="K9" s="126"/>
      <c r="L9" s="126"/>
      <c r="M9" s="126"/>
      <c r="N9" s="126"/>
      <c r="O9" s="126"/>
      <c r="P9" s="126"/>
      <c r="Q9" s="127"/>
      <c r="Y9" s="217"/>
      <c r="Z9" s="91"/>
      <c r="AA9" s="91"/>
      <c r="AB9" s="91"/>
      <c r="AC9" s="91"/>
      <c r="AD9" s="91"/>
      <c r="AE9" s="91"/>
      <c r="AF9" s="91"/>
      <c r="AG9" s="218"/>
    </row>
    <row r="10" spans="2:33" ht="15.65" customHeight="1" x14ac:dyDescent="0.25">
      <c r="B10" s="171"/>
      <c r="C10" s="153"/>
      <c r="D10" s="153"/>
      <c r="E10" s="130" t="s">
        <v>177</v>
      </c>
      <c r="F10" s="130"/>
      <c r="G10" s="153"/>
      <c r="H10" s="175"/>
      <c r="I10" s="175"/>
      <c r="J10" s="172"/>
      <c r="K10" s="153"/>
      <c r="L10" s="153"/>
      <c r="M10" s="153"/>
      <c r="N10" s="153"/>
      <c r="O10" s="130" t="s">
        <v>778</v>
      </c>
      <c r="P10" s="153"/>
      <c r="Q10" s="174"/>
      <c r="Y10" s="217"/>
      <c r="Z10" s="91"/>
      <c r="AA10" s="91"/>
      <c r="AB10" s="91"/>
      <c r="AC10" s="91"/>
      <c r="AD10" s="91"/>
      <c r="AE10" s="91"/>
      <c r="AF10" s="91"/>
      <c r="AG10" s="218"/>
    </row>
    <row r="11" spans="2:33" ht="15.65" customHeight="1" x14ac:dyDescent="0.25">
      <c r="B11" s="46"/>
      <c r="C11" s="47"/>
      <c r="D11" s="47"/>
      <c r="E11" s="165"/>
      <c r="F11" s="47"/>
      <c r="G11" s="47"/>
      <c r="H11" s="48"/>
      <c r="I11" s="48"/>
      <c r="J11" s="47"/>
      <c r="K11" s="47"/>
      <c r="L11" s="47"/>
      <c r="M11" s="47"/>
      <c r="N11" s="47"/>
      <c r="O11" s="47"/>
      <c r="P11" s="47"/>
      <c r="Q11" s="49"/>
      <c r="Y11" s="217"/>
      <c r="Z11" s="91"/>
      <c r="AA11" s="91"/>
      <c r="AB11" s="91"/>
      <c r="AC11" s="91"/>
      <c r="AD11" s="91"/>
      <c r="AE11" s="91"/>
      <c r="AF11" s="91"/>
      <c r="AG11" s="218"/>
    </row>
    <row r="12" spans="2:33" ht="15.65" customHeight="1" x14ac:dyDescent="0.25">
      <c r="B12" s="46"/>
      <c r="C12" s="47" t="s">
        <v>841</v>
      </c>
      <c r="D12" s="47"/>
      <c r="E12" s="1026"/>
      <c r="F12" s="948" t="s">
        <v>90</v>
      </c>
      <c r="G12" s="47"/>
      <c r="H12" s="48"/>
      <c r="I12" s="48"/>
      <c r="J12" s="52"/>
      <c r="K12" s="47"/>
      <c r="L12" s="47"/>
      <c r="M12" s="47"/>
      <c r="N12" s="47"/>
      <c r="O12" s="47"/>
      <c r="P12" s="47"/>
      <c r="Q12" s="49"/>
      <c r="Y12" s="217"/>
      <c r="Z12" s="68"/>
      <c r="AA12" s="91"/>
      <c r="AB12" s="91"/>
      <c r="AC12" s="91"/>
      <c r="AD12" s="91"/>
      <c r="AE12" s="91"/>
      <c r="AF12" s="91"/>
      <c r="AG12" s="218"/>
    </row>
    <row r="13" spans="2:33" ht="15.65" customHeight="1" x14ac:dyDescent="0.25">
      <c r="B13" s="46"/>
      <c r="C13" s="47" t="s">
        <v>842</v>
      </c>
      <c r="D13" s="47"/>
      <c r="E13" s="944"/>
      <c r="F13" s="51"/>
      <c r="G13" s="47"/>
      <c r="H13" s="236"/>
      <c r="I13" s="236"/>
      <c r="J13" s="236"/>
      <c r="K13" s="236"/>
      <c r="L13" s="47"/>
      <c r="M13" s="47"/>
      <c r="N13" s="47"/>
      <c r="O13" s="47"/>
      <c r="P13" s="47"/>
      <c r="Q13" s="49"/>
      <c r="Y13" s="282" t="s">
        <v>843</v>
      </c>
      <c r="Z13" s="282" t="s">
        <v>782</v>
      </c>
      <c r="AA13" s="282" t="s">
        <v>783</v>
      </c>
      <c r="AB13" s="282" t="s">
        <v>844</v>
      </c>
      <c r="AC13" s="91"/>
      <c r="AD13" s="91"/>
      <c r="AE13" s="91"/>
      <c r="AF13" s="91"/>
      <c r="AG13" s="218"/>
    </row>
    <row r="14" spans="2:33" customFormat="1" x14ac:dyDescent="0.25">
      <c r="B14" s="46"/>
      <c r="C14" s="47" t="s">
        <v>785</v>
      </c>
      <c r="D14" s="47"/>
      <c r="E14" s="942"/>
      <c r="F14" s="236"/>
      <c r="G14" s="47"/>
      <c r="H14" s="48"/>
      <c r="I14" s="48"/>
      <c r="J14" s="50"/>
      <c r="K14" s="47"/>
      <c r="L14" s="47"/>
      <c r="M14" s="47"/>
      <c r="N14" s="47"/>
      <c r="O14" s="47"/>
      <c r="P14" s="47"/>
      <c r="Q14" s="49"/>
      <c r="Y14" s="522">
        <f>E12*VLOOKUP(F12,massConv[],2,FALSE)</f>
        <v>0</v>
      </c>
      <c r="Z14" s="522" t="e">
        <f>IF(AND(E13="No",E14="No"),E15*VLOOKUP(F15,massConv[],2,FALSE),VLOOKUP(iq_selectedPathway,Table41[],2,FALSE))</f>
        <v>#N/A</v>
      </c>
      <c r="AA14" s="533" t="e">
        <f>IF(AND(E13="No", E14="No"),E16,VLOOKUP(iq_selectedPathway,Table41[#All],3,FALSE ) )</f>
        <v>#N/A</v>
      </c>
      <c r="AB14" s="522" t="e">
        <f>AA14*Z14</f>
        <v>#N/A</v>
      </c>
      <c r="AG14" s="261"/>
    </row>
    <row r="15" spans="2:33" customFormat="1" x14ac:dyDescent="0.25">
      <c r="B15" s="46"/>
      <c r="C15" s="47" t="s">
        <v>786</v>
      </c>
      <c r="D15" s="52"/>
      <c r="E15" s="527"/>
      <c r="F15" s="482"/>
      <c r="G15" s="47"/>
      <c r="H15" s="48"/>
      <c r="I15" s="48"/>
      <c r="J15" s="52"/>
      <c r="K15" s="47"/>
      <c r="L15" s="47"/>
      <c r="M15" s="47"/>
      <c r="N15" s="47"/>
      <c r="O15" s="47"/>
      <c r="P15" s="47"/>
      <c r="Q15" s="49"/>
      <c r="Y15" s="530"/>
      <c r="AG15" s="261"/>
    </row>
    <row r="16" spans="2:33" customFormat="1" x14ac:dyDescent="0.25">
      <c r="B16" s="46"/>
      <c r="C16" s="47" t="s">
        <v>787</v>
      </c>
      <c r="D16" s="47"/>
      <c r="E16" s="857"/>
      <c r="F16" s="858" t="s">
        <v>788</v>
      </c>
      <c r="G16" s="52"/>
      <c r="H16" s="48"/>
      <c r="I16" s="48"/>
      <c r="J16" s="52"/>
      <c r="K16" s="47"/>
      <c r="L16" s="47"/>
      <c r="M16" s="47"/>
      <c r="N16" s="150"/>
      <c r="O16" s="151" t="str">
        <f>IFERROR(AB14,'Hidden Lists and Summaries'!$C$158)</f>
        <v>Error -  Review inputs</v>
      </c>
      <c r="P16" s="152" t="s">
        <v>90</v>
      </c>
      <c r="Q16" s="49"/>
      <c r="Y16" s="530"/>
      <c r="AG16" s="261"/>
    </row>
    <row r="17" spans="2:39" ht="15.65" customHeight="1" x14ac:dyDescent="0.25">
      <c r="B17" s="53"/>
      <c r="C17" s="54"/>
      <c r="D17" s="54"/>
      <c r="E17" s="54"/>
      <c r="F17" s="54"/>
      <c r="G17" s="54"/>
      <c r="H17" s="54"/>
      <c r="I17" s="54"/>
      <c r="J17" s="54"/>
      <c r="K17" s="54"/>
      <c r="L17" s="54"/>
      <c r="M17" s="54"/>
      <c r="N17" s="109" t="s">
        <v>120</v>
      </c>
      <c r="O17" s="72">
        <f>SUM(O16)</f>
        <v>0</v>
      </c>
      <c r="P17" s="110" t="s">
        <v>90</v>
      </c>
      <c r="Q17" s="55"/>
      <c r="Y17" s="217"/>
      <c r="Z17" s="91"/>
      <c r="AA17" s="91"/>
      <c r="AB17" s="91"/>
      <c r="AC17" s="91"/>
      <c r="AD17" s="91"/>
      <c r="AE17" s="91"/>
      <c r="AF17" s="91"/>
      <c r="AG17" s="218"/>
    </row>
    <row r="18" spans="2:39" customFormat="1" ht="12.5" x14ac:dyDescent="0.25">
      <c r="B18" s="56"/>
      <c r="C18" s="56"/>
      <c r="D18" s="56"/>
      <c r="E18" s="56"/>
      <c r="F18" s="56"/>
      <c r="G18" s="56"/>
      <c r="H18" s="56"/>
      <c r="I18" s="56"/>
      <c r="J18" s="56"/>
      <c r="K18" s="56"/>
      <c r="L18" s="56"/>
      <c r="M18" s="56"/>
      <c r="N18" s="56"/>
      <c r="O18" s="56"/>
      <c r="P18" s="56"/>
      <c r="Q18" s="56"/>
      <c r="Y18" s="263"/>
      <c r="AG18" s="261"/>
    </row>
    <row r="19" spans="2:39" customFormat="1" ht="12.5" x14ac:dyDescent="0.25">
      <c r="B19" s="121"/>
      <c r="C19" s="122"/>
      <c r="D19" s="122"/>
      <c r="E19" s="122"/>
      <c r="F19" s="122"/>
      <c r="G19" s="122"/>
      <c r="H19" s="122"/>
      <c r="I19" s="122"/>
      <c r="J19" s="122"/>
      <c r="K19" s="122"/>
      <c r="L19" s="122"/>
      <c r="M19" s="122"/>
      <c r="N19" s="122"/>
      <c r="O19" s="122"/>
      <c r="P19" s="122"/>
      <c r="Q19" s="123"/>
      <c r="Y19" s="263"/>
      <c r="AG19" s="261"/>
    </row>
    <row r="20" spans="2:39" customFormat="1" x14ac:dyDescent="0.25">
      <c r="B20" s="124"/>
      <c r="C20" s="125" t="s">
        <v>48</v>
      </c>
      <c r="D20" s="126"/>
      <c r="E20" s="132"/>
      <c r="F20" s="132"/>
      <c r="G20" s="126"/>
      <c r="H20" s="126"/>
      <c r="I20" s="126"/>
      <c r="J20" s="126"/>
      <c r="K20" s="126"/>
      <c r="L20" s="126"/>
      <c r="M20" s="126"/>
      <c r="N20" s="126"/>
      <c r="O20" s="126"/>
      <c r="P20" s="126"/>
      <c r="Q20" s="127"/>
      <c r="Y20" s="263"/>
      <c r="AG20" s="261"/>
    </row>
    <row r="21" spans="2:39" customFormat="1" x14ac:dyDescent="0.25">
      <c r="B21" s="171"/>
      <c r="C21" s="153"/>
      <c r="D21" s="153"/>
      <c r="E21" s="130" t="s">
        <v>31</v>
      </c>
      <c r="F21" s="130" t="s">
        <v>184</v>
      </c>
      <c r="G21" s="130"/>
      <c r="H21" s="131"/>
      <c r="I21" s="131"/>
      <c r="J21" s="172"/>
      <c r="K21" s="172"/>
      <c r="L21" s="172"/>
      <c r="M21" s="172"/>
      <c r="N21" s="172"/>
      <c r="O21" s="130"/>
      <c r="P21" s="172"/>
      <c r="Q21" s="173"/>
      <c r="Y21" s="263"/>
      <c r="AG21" s="261"/>
    </row>
    <row r="22" spans="2:39" customFormat="1" x14ac:dyDescent="0.25">
      <c r="B22" s="46"/>
      <c r="C22" s="47"/>
      <c r="D22" s="47"/>
      <c r="E22" s="47"/>
      <c r="F22" s="47"/>
      <c r="G22" s="47"/>
      <c r="H22" s="48"/>
      <c r="I22" s="48"/>
      <c r="J22" s="47"/>
      <c r="K22" s="47"/>
      <c r="L22" s="47"/>
      <c r="M22" s="47"/>
      <c r="N22" s="47"/>
      <c r="O22" s="47"/>
      <c r="P22" s="47"/>
      <c r="Q22" s="49"/>
      <c r="Y22" s="332" t="s">
        <v>845</v>
      </c>
      <c r="AG22" s="261"/>
    </row>
    <row r="23" spans="2:39" customFormat="1" x14ac:dyDescent="0.25">
      <c r="B23" s="46"/>
      <c r="C23" s="63" t="s">
        <v>846</v>
      </c>
      <c r="D23" s="47"/>
      <c r="E23" s="532"/>
      <c r="F23" s="559"/>
      <c r="G23" s="47"/>
      <c r="H23" s="48"/>
      <c r="I23" s="48"/>
      <c r="J23" s="47"/>
      <c r="K23" s="47"/>
      <c r="L23" s="47"/>
      <c r="M23" s="47"/>
      <c r="N23" s="63"/>
      <c r="O23" s="63"/>
      <c r="P23" s="63"/>
      <c r="Q23" s="49"/>
      <c r="Y23" s="323" t="e">
        <f>E23*VLOOKUP(F23,massConv[#All],2,FALSE)</f>
        <v>#N/A</v>
      </c>
      <c r="AG23" s="261"/>
    </row>
    <row r="24" spans="2:39" customFormat="1" x14ac:dyDescent="0.25">
      <c r="B24" s="46"/>
      <c r="C24" s="63" t="s">
        <v>791</v>
      </c>
      <c r="D24" s="47"/>
      <c r="E24" s="483"/>
      <c r="F24" s="48"/>
      <c r="G24" s="47"/>
      <c r="H24" s="48"/>
      <c r="I24" s="48"/>
      <c r="J24" s="47"/>
      <c r="K24" s="47"/>
      <c r="L24" s="47"/>
      <c r="M24" s="47"/>
      <c r="N24" s="63"/>
      <c r="O24" s="63"/>
      <c r="P24" s="63"/>
      <c r="Q24" s="49"/>
      <c r="Y24" s="263"/>
      <c r="AG24" s="261"/>
    </row>
    <row r="25" spans="2:39" customFormat="1" x14ac:dyDescent="0.25">
      <c r="B25" s="46"/>
      <c r="C25" s="52" t="s">
        <v>188</v>
      </c>
      <c r="D25" s="47"/>
      <c r="E25" s="1528"/>
      <c r="F25" s="63"/>
      <c r="G25" s="47"/>
      <c r="H25" s="48"/>
      <c r="I25" s="48"/>
      <c r="J25" s="47"/>
      <c r="K25" s="47"/>
      <c r="L25" s="47"/>
      <c r="M25" s="47"/>
      <c r="N25" s="63"/>
      <c r="O25" s="63"/>
      <c r="P25" s="63"/>
      <c r="Q25" s="49"/>
      <c r="Y25" s="263"/>
      <c r="AG25" s="261"/>
    </row>
    <row r="26" spans="2:39" customFormat="1" x14ac:dyDescent="0.25">
      <c r="B26" s="46"/>
      <c r="C26" s="52" t="s">
        <v>190</v>
      </c>
      <c r="D26" s="47"/>
      <c r="E26" s="347"/>
      <c r="F26" s="63"/>
      <c r="G26" s="47"/>
      <c r="H26" s="48"/>
      <c r="I26" s="48"/>
      <c r="J26" s="47"/>
      <c r="K26" s="47"/>
      <c r="L26" s="47"/>
      <c r="M26" s="47"/>
      <c r="N26" s="63"/>
      <c r="O26" s="63"/>
      <c r="P26" s="63"/>
      <c r="Q26" s="49"/>
      <c r="Y26" s="263"/>
      <c r="AG26" s="261"/>
    </row>
    <row r="27" spans="2:39" customFormat="1" x14ac:dyDescent="0.25">
      <c r="B27" s="53"/>
      <c r="C27" s="65"/>
      <c r="D27" s="54"/>
      <c r="E27" s="54"/>
      <c r="F27" s="54"/>
      <c r="G27" s="54"/>
      <c r="H27" s="65"/>
      <c r="I27" s="65"/>
      <c r="J27" s="54"/>
      <c r="K27" s="54"/>
      <c r="L27" s="54"/>
      <c r="M27" s="54"/>
      <c r="N27" s="66"/>
      <c r="O27" s="67"/>
      <c r="P27" s="67"/>
      <c r="Q27" s="55"/>
      <c r="Y27" s="263"/>
      <c r="AG27" s="261"/>
    </row>
    <row r="28" spans="2:39" s="70" customFormat="1" ht="15.65" customHeight="1" x14ac:dyDescent="0.25">
      <c r="B28" s="56"/>
      <c r="C28" s="56"/>
      <c r="D28" s="56"/>
      <c r="E28" s="56"/>
      <c r="F28" s="56"/>
      <c r="G28" s="56"/>
      <c r="H28" s="68"/>
      <c r="I28" s="68"/>
      <c r="J28" s="56"/>
      <c r="K28" s="56"/>
      <c r="L28" s="56"/>
      <c r="M28" s="56"/>
      <c r="N28" s="69"/>
      <c r="O28" s="56"/>
      <c r="P28" s="56"/>
      <c r="Q28" s="56"/>
      <c r="Y28" s="219"/>
      <c r="Z28" s="68"/>
      <c r="AA28" s="68"/>
      <c r="AB28" s="68"/>
      <c r="AC28" s="68"/>
      <c r="AD28" s="68"/>
      <c r="AE28" s="68"/>
      <c r="AF28" s="68"/>
      <c r="AG28" s="220"/>
    </row>
    <row r="29" spans="2:39" ht="15.65" customHeight="1" x14ac:dyDescent="0.25">
      <c r="B29" s="121"/>
      <c r="C29" s="122"/>
      <c r="D29" s="122"/>
      <c r="E29" s="122"/>
      <c r="F29" s="122"/>
      <c r="G29" s="122"/>
      <c r="H29" s="122"/>
      <c r="I29" s="122"/>
      <c r="J29" s="122"/>
      <c r="K29" s="122"/>
      <c r="L29" s="122"/>
      <c r="M29" s="122"/>
      <c r="N29" s="122"/>
      <c r="O29" s="122"/>
      <c r="P29" s="122"/>
      <c r="Q29" s="123"/>
      <c r="Y29" s="217"/>
      <c r="Z29" s="91"/>
      <c r="AA29" s="91"/>
      <c r="AB29" s="91"/>
      <c r="AC29" s="91"/>
      <c r="AD29" s="91"/>
      <c r="AE29" s="91"/>
      <c r="AF29" s="91"/>
      <c r="AG29" s="218"/>
    </row>
    <row r="30" spans="2:39" ht="15.65" customHeight="1" x14ac:dyDescent="0.25">
      <c r="B30" s="124"/>
      <c r="C30" s="125" t="s">
        <v>197</v>
      </c>
      <c r="D30" s="126"/>
      <c r="E30" s="126"/>
      <c r="F30" s="126"/>
      <c r="G30" s="126"/>
      <c r="H30" s="126"/>
      <c r="I30" s="1879" t="s">
        <v>792</v>
      </c>
      <c r="J30" s="126"/>
      <c r="K30" s="126"/>
      <c r="L30" s="126"/>
      <c r="M30" s="126"/>
      <c r="N30" s="126"/>
      <c r="O30" s="126"/>
      <c r="P30" s="126"/>
      <c r="Q30" s="127"/>
      <c r="Y30" s="217"/>
      <c r="Z30" s="91"/>
      <c r="AA30" s="91"/>
      <c r="AB30" s="91"/>
      <c r="AC30" s="91"/>
      <c r="AD30" s="91"/>
      <c r="AE30" s="91"/>
      <c r="AF30" s="91"/>
      <c r="AG30" s="218"/>
    </row>
    <row r="31" spans="2:39" ht="15.65" customHeight="1" x14ac:dyDescent="0.25">
      <c r="B31" s="171"/>
      <c r="C31" s="153"/>
      <c r="D31" s="153"/>
      <c r="E31" s="130" t="s">
        <v>198</v>
      </c>
      <c r="F31" s="130" t="s">
        <v>199</v>
      </c>
      <c r="G31" s="130" t="s">
        <v>200</v>
      </c>
      <c r="H31" s="130" t="s">
        <v>184</v>
      </c>
      <c r="I31" s="1880"/>
      <c r="J31" s="338" t="s">
        <v>201</v>
      </c>
      <c r="K31" s="153"/>
      <c r="L31" s="153"/>
      <c r="M31" s="153"/>
      <c r="N31" s="153"/>
      <c r="O31" s="130" t="s">
        <v>82</v>
      </c>
      <c r="P31" s="153"/>
      <c r="Q31" s="174"/>
      <c r="Y31" s="282" t="s">
        <v>202</v>
      </c>
      <c r="Z31" s="283" t="s">
        <v>203</v>
      </c>
      <c r="AA31" s="283" t="s">
        <v>204</v>
      </c>
      <c r="AB31" s="283" t="s">
        <v>205</v>
      </c>
      <c r="AC31" s="283" t="s">
        <v>206</v>
      </c>
      <c r="AD31" s="283" t="s">
        <v>207</v>
      </c>
      <c r="AE31" s="291" t="s">
        <v>208</v>
      </c>
      <c r="AF31" s="91"/>
      <c r="AG31" s="218"/>
    </row>
    <row r="32" spans="2:39" ht="15.65" customHeight="1" x14ac:dyDescent="0.25">
      <c r="B32" s="46"/>
      <c r="C32" s="47"/>
      <c r="D32" s="47"/>
      <c r="E32" s="47"/>
      <c r="F32" s="47"/>
      <c r="G32" s="47"/>
      <c r="H32" s="47"/>
      <c r="I32" s="232"/>
      <c r="J32" s="200"/>
      <c r="K32" s="47"/>
      <c r="L32" s="47"/>
      <c r="M32" s="47"/>
      <c r="N32" s="896"/>
      <c r="O32" s="895" t="s">
        <v>257</v>
      </c>
      <c r="P32" s="898"/>
      <c r="Q32" s="49"/>
      <c r="Y32" s="282" t="s">
        <v>210</v>
      </c>
      <c r="Z32" s="283" t="s">
        <v>210</v>
      </c>
      <c r="AA32" s="283" t="s">
        <v>210</v>
      </c>
      <c r="AB32" s="283" t="s">
        <v>128</v>
      </c>
      <c r="AC32" s="340" t="s">
        <v>211</v>
      </c>
      <c r="AD32" s="283" t="s">
        <v>84</v>
      </c>
      <c r="AE32" s="291" t="s">
        <v>212</v>
      </c>
      <c r="AF32" s="91"/>
      <c r="AG32" s="218"/>
      <c r="AH32" s="1886" t="s">
        <v>189</v>
      </c>
      <c r="AI32" s="1887"/>
      <c r="AJ32" s="1887"/>
      <c r="AK32" s="1887"/>
      <c r="AL32" s="1887"/>
      <c r="AM32" s="1887"/>
    </row>
    <row r="33" spans="2:39" ht="15.65" customHeight="1" x14ac:dyDescent="0.25">
      <c r="B33" s="46"/>
      <c r="C33" s="63" t="s">
        <v>423</v>
      </c>
      <c r="D33" s="47"/>
      <c r="E33" s="1052"/>
      <c r="F33" s="1058"/>
      <c r="G33" s="348"/>
      <c r="H33" s="349"/>
      <c r="I33" s="1021"/>
      <c r="J33" s="490"/>
      <c r="K33" s="87"/>
      <c r="L33" s="48"/>
      <c r="M33" s="48"/>
      <c r="N33" s="103"/>
      <c r="O33" s="111">
        <f>IF(AND(F33="",G33="",H33="",I33=""),0,IFERROR(AA33*AB33+AD33*'Key Values'!$C$149,'Hidden Lists and Summaries'!$C$158))</f>
        <v>0</v>
      </c>
      <c r="P33" s="105" t="s">
        <v>90</v>
      </c>
      <c r="Q33" s="49"/>
      <c r="Y33" s="506" t="e">
        <f>IF(OR(($F33='Key Values'!$B$26),($F33='Key Values'!$B$27)),0,VLOOKUP(iq_location,TapWaterEmbodiedEmissions[#All],2,FALSE))</f>
        <v>#N/A</v>
      </c>
      <c r="Z33" s="485" t="e">
        <f>VLOOKUP(F33,WaterEmbodiedEmissions[#All],2,FALSE)</f>
        <v>#N/A</v>
      </c>
      <c r="AA33" s="485" t="e">
        <f>IF(I33&lt;&gt;"",I33,Y33+Z33)</f>
        <v>#N/A</v>
      </c>
      <c r="AB33" s="310" t="e">
        <f>VLOOKUP(H33,Table13[#All], 2, FALSE)*G33</f>
        <v>#N/A</v>
      </c>
      <c r="AC33" s="91" cm="1">
        <f t="array" ref="AC33">IF(OR(($F33='Key Values'!$B$26),($F33='Key Values'!$B$27)),PumpedWaterSupplyCosts[Pumping to Site (kWh/m3/km)],0)</f>
        <v>0</v>
      </c>
      <c r="AD33" s="91" t="e">
        <f>AE33*AC33*J33</f>
        <v>#N/A</v>
      </c>
      <c r="AE33" s="218" t="e">
        <f>G33*VLOOKUP(H33,Table13[#All], 3,FALSE)</f>
        <v>#N/A</v>
      </c>
      <c r="AF33" s="91"/>
      <c r="AG33" s="218"/>
      <c r="AH33" s="1886"/>
      <c r="AI33" s="1887"/>
      <c r="AJ33" s="1887"/>
      <c r="AK33" s="1887"/>
      <c r="AL33" s="1887"/>
      <c r="AM33" s="1887"/>
    </row>
    <row r="34" spans="2:39" ht="15.65" customHeight="1" x14ac:dyDescent="0.25">
      <c r="B34" s="46"/>
      <c r="C34" s="63" t="s">
        <v>424</v>
      </c>
      <c r="D34" s="47"/>
      <c r="E34" s="1053"/>
      <c r="F34" s="1059"/>
      <c r="G34" s="350"/>
      <c r="H34" s="351"/>
      <c r="I34" s="1022"/>
      <c r="J34" s="490">
        <v>25</v>
      </c>
      <c r="K34" s="87"/>
      <c r="L34" s="48"/>
      <c r="M34" s="48"/>
      <c r="N34" s="106"/>
      <c r="O34" s="107">
        <f>IF(AND(F34="",G34="",H34="",I34=""),0,IFERROR(AA34*AB34+AD34*'Key Values'!$C$149,'Hidden Lists and Summaries'!$C$158))</f>
        <v>0</v>
      </c>
      <c r="P34" s="108" t="s">
        <v>90</v>
      </c>
      <c r="Q34" s="49"/>
      <c r="Y34" s="507" t="e">
        <f>IF(OR(($F34='Key Values'!$B$26),($F34='Key Values'!$B$27)),0,VLOOKUP(iq_location,TapWaterEmbodiedEmissions[#All],2,FALSE))</f>
        <v>#N/A</v>
      </c>
      <c r="Z34" s="484" t="e">
        <f>VLOOKUP(F34,WaterEmbodiedEmissions[#All],2,FALSE)</f>
        <v>#N/A</v>
      </c>
      <c r="AA34" s="484" t="e">
        <f>IF(I34&lt;&gt;"",I34,Y34+Z34)</f>
        <v>#N/A</v>
      </c>
      <c r="AB34" s="284" t="e">
        <f>VLOOKUP(H34,Table13[#All], 2, FALSE)*G34</f>
        <v>#N/A</v>
      </c>
      <c r="AC34" s="91" cm="1">
        <f t="array" ref="AC34">IF(OR(($F34='Key Values'!$B$26),($F34='Key Values'!$B$27)),PumpedWaterSupplyCosts[Pumping to Site (kWh/m3/km)],0)</f>
        <v>0</v>
      </c>
      <c r="AD34" s="91" t="e">
        <f>AE34*AC34*J34</f>
        <v>#N/A</v>
      </c>
      <c r="AE34" s="218" t="e">
        <f>G34*VLOOKUP(H34,Table13[#All], 3,FALSE)</f>
        <v>#N/A</v>
      </c>
      <c r="AF34" s="91"/>
      <c r="AG34" s="218"/>
      <c r="AH34" s="1885" t="s">
        <v>191</v>
      </c>
      <c r="AI34" s="1885" t="s">
        <v>192</v>
      </c>
      <c r="AJ34" s="1885" t="s">
        <v>193</v>
      </c>
      <c r="AK34" s="1885" t="s">
        <v>194</v>
      </c>
      <c r="AL34" s="1885" t="s">
        <v>195</v>
      </c>
      <c r="AM34" s="1885" t="s">
        <v>196</v>
      </c>
    </row>
    <row r="35" spans="2:39" ht="15.65" customHeight="1" x14ac:dyDescent="0.25">
      <c r="B35" s="46"/>
      <c r="C35" s="63" t="s">
        <v>425</v>
      </c>
      <c r="D35" s="47"/>
      <c r="E35" s="1054"/>
      <c r="F35" s="1060"/>
      <c r="G35" s="352"/>
      <c r="H35" s="352"/>
      <c r="I35" s="1023"/>
      <c r="J35" s="490"/>
      <c r="K35" s="87"/>
      <c r="L35" s="48"/>
      <c r="M35" s="48"/>
      <c r="N35" s="106"/>
      <c r="O35" s="107">
        <f>IF(AND(F35="",G35="",H35="",I35=""),0,IFERROR(AA35*AB35+AD35*'Key Values'!$C$149,'Hidden Lists and Summaries'!$C$158))</f>
        <v>0</v>
      </c>
      <c r="P35" s="108" t="s">
        <v>90</v>
      </c>
      <c r="Q35" s="49"/>
      <c r="Y35" s="507" t="e">
        <f>IF(OR(($F35='Key Values'!$B$26),($F35='Key Values'!$B$27)),0,VLOOKUP(iq_location,TapWaterEmbodiedEmissions[#All],2,FALSE))</f>
        <v>#N/A</v>
      </c>
      <c r="Z35" s="508" t="e">
        <f>VLOOKUP(F35,WaterEmbodiedEmissions[#All],2,FALSE)</f>
        <v>#N/A</v>
      </c>
      <c r="AA35" s="484" t="e">
        <f>IF(I35&lt;&gt;"",I35,Y35+Z35)</f>
        <v>#N/A</v>
      </c>
      <c r="AB35" s="325" t="e">
        <f>VLOOKUP(H35,Table13[#All], 2, FALSE)*G35</f>
        <v>#N/A</v>
      </c>
      <c r="AC35" s="185" cm="1">
        <f t="array" ref="AC35">IF(OR(($F35='Key Values'!$B$26),($F35='Key Values'!$B$27)),PumpedWaterSupplyCosts[Pumping to Site (kWh/m3/km)],0)</f>
        <v>0</v>
      </c>
      <c r="AD35" s="185" t="e">
        <f>AE35*AC35*J35</f>
        <v>#N/A</v>
      </c>
      <c r="AE35" s="225" t="e">
        <f>G35*VLOOKUP(H35,Table13[#All], 3,FALSE)</f>
        <v>#N/A</v>
      </c>
      <c r="AF35" s="91"/>
      <c r="AG35" s="218"/>
      <c r="AH35" s="1885"/>
      <c r="AI35" s="1885"/>
      <c r="AJ35" s="1885"/>
      <c r="AK35" s="1885"/>
      <c r="AL35" s="1885"/>
      <c r="AM35" s="1885"/>
    </row>
    <row r="36" spans="2:39" ht="15.65" customHeight="1" x14ac:dyDescent="0.25">
      <c r="B36" s="53"/>
      <c r="C36" s="54"/>
      <c r="D36" s="54"/>
      <c r="E36" s="54"/>
      <c r="F36" s="54"/>
      <c r="G36" s="54"/>
      <c r="H36" s="65"/>
      <c r="I36" s="65"/>
      <c r="J36" s="54"/>
      <c r="K36" s="54"/>
      <c r="L36" s="54"/>
      <c r="M36" s="54"/>
      <c r="N36" s="109" t="s">
        <v>120</v>
      </c>
      <c r="O36" s="72">
        <f>SUM(O33:O35)</f>
        <v>0</v>
      </c>
      <c r="P36" s="110" t="s">
        <v>90</v>
      </c>
      <c r="Q36" s="55"/>
      <c r="Y36" s="274"/>
      <c r="Z36" s="91"/>
      <c r="AA36" s="104"/>
      <c r="AB36" s="91"/>
      <c r="AC36" s="91"/>
      <c r="AD36" s="91"/>
      <c r="AE36" s="104"/>
      <c r="AF36" s="91"/>
      <c r="AG36" s="218"/>
      <c r="AH36" s="274"/>
      <c r="AI36" s="104">
        <f>O36</f>
        <v>0</v>
      </c>
      <c r="AJ36" s="104"/>
      <c r="AK36" s="104" t="str">
        <f>'Hidden Lists and Summaries'!$B$5</f>
        <v>Embodied (Upstream)</v>
      </c>
      <c r="AL36" s="104"/>
      <c r="AM36" s="278" t="s">
        <v>214</v>
      </c>
    </row>
    <row r="37" spans="2:39" ht="15.65" customHeight="1" x14ac:dyDescent="0.25">
      <c r="B37" s="71"/>
      <c r="C37" s="71"/>
      <c r="D37" s="71"/>
      <c r="E37" s="71"/>
      <c r="F37" s="71"/>
      <c r="G37" s="71"/>
      <c r="H37" s="71"/>
      <c r="I37" s="71"/>
      <c r="J37" s="71"/>
      <c r="K37" s="71"/>
      <c r="L37" s="71"/>
      <c r="M37" s="71"/>
      <c r="N37" s="71"/>
      <c r="O37" s="71"/>
      <c r="P37" s="71"/>
      <c r="Q37" s="71"/>
      <c r="Y37" s="217"/>
      <c r="Z37" s="91"/>
      <c r="AA37" s="91"/>
      <c r="AB37" s="91"/>
      <c r="AC37" s="91"/>
      <c r="AD37" s="91"/>
      <c r="AE37" s="91"/>
      <c r="AF37" s="91"/>
      <c r="AG37" s="218"/>
      <c r="AH37" s="217"/>
      <c r="AI37" s="91"/>
      <c r="AJ37" s="91"/>
      <c r="AK37" s="91"/>
      <c r="AL37" s="91"/>
      <c r="AM37" s="218"/>
    </row>
    <row r="38" spans="2:39" ht="15.65" customHeight="1" x14ac:dyDescent="0.25">
      <c r="B38" s="121"/>
      <c r="C38" s="122"/>
      <c r="D38" s="122"/>
      <c r="E38" s="122"/>
      <c r="F38" s="169" t="s">
        <v>793</v>
      </c>
      <c r="G38" s="122"/>
      <c r="H38" s="122"/>
      <c r="I38" s="122"/>
      <c r="J38" s="122"/>
      <c r="K38" s="122"/>
      <c r="L38" s="122"/>
      <c r="M38" s="122"/>
      <c r="N38" s="122"/>
      <c r="O38" s="122"/>
      <c r="P38" s="122"/>
      <c r="Q38" s="123"/>
      <c r="Y38" s="217"/>
      <c r="Z38" s="91"/>
      <c r="AA38" s="91"/>
      <c r="AB38" s="91"/>
      <c r="AC38" s="91"/>
      <c r="AD38" s="91"/>
      <c r="AE38" s="91"/>
      <c r="AF38" s="91"/>
      <c r="AG38" s="218"/>
      <c r="AH38" s="217"/>
      <c r="AI38" s="91"/>
      <c r="AJ38" s="91"/>
      <c r="AK38" s="91"/>
      <c r="AL38" s="91"/>
      <c r="AM38" s="218"/>
    </row>
    <row r="39" spans="2:39" ht="15.65" customHeight="1" x14ac:dyDescent="0.25">
      <c r="B39" s="124"/>
      <c r="C39" s="125" t="s">
        <v>217</v>
      </c>
      <c r="D39" s="144"/>
      <c r="E39" s="144"/>
      <c r="F39" s="144"/>
      <c r="G39" s="144"/>
      <c r="H39" s="1879" t="s">
        <v>794</v>
      </c>
      <c r="I39" s="129"/>
      <c r="J39" s="129"/>
      <c r="K39" s="144"/>
      <c r="L39" s="144"/>
      <c r="M39" s="144"/>
      <c r="N39" s="144"/>
      <c r="O39" s="144"/>
      <c r="P39" s="144"/>
      <c r="Q39" s="127"/>
      <c r="Y39" s="217"/>
      <c r="Z39" s="91"/>
      <c r="AA39" s="91"/>
      <c r="AB39" s="91"/>
      <c r="AC39" s="91"/>
      <c r="AD39" s="91"/>
      <c r="AE39" s="91"/>
      <c r="AF39" s="91"/>
      <c r="AG39" s="218"/>
      <c r="AH39" s="217"/>
      <c r="AI39" s="91"/>
      <c r="AJ39" s="91"/>
      <c r="AK39" s="91"/>
      <c r="AL39" s="91"/>
      <c r="AM39" s="218"/>
    </row>
    <row r="40" spans="2:39" ht="15.65" customHeight="1" x14ac:dyDescent="0.25">
      <c r="B40" s="171"/>
      <c r="C40" s="153"/>
      <c r="D40" s="153"/>
      <c r="E40" s="130" t="s">
        <v>218</v>
      </c>
      <c r="F40" s="130" t="s">
        <v>200</v>
      </c>
      <c r="G40" s="130" t="s">
        <v>184</v>
      </c>
      <c r="H40" s="1880"/>
      <c r="I40" s="131" t="s">
        <v>201</v>
      </c>
      <c r="J40" s="175"/>
      <c r="K40" s="153"/>
      <c r="L40" s="153"/>
      <c r="M40" s="153"/>
      <c r="N40" s="153"/>
      <c r="O40" s="130" t="s">
        <v>82</v>
      </c>
      <c r="P40" s="153"/>
      <c r="Q40" s="174"/>
      <c r="Y40" s="285" t="s">
        <v>219</v>
      </c>
      <c r="Z40" s="73" t="s">
        <v>206</v>
      </c>
      <c r="AA40" s="283" t="s">
        <v>220</v>
      </c>
      <c r="AB40" s="283" t="s">
        <v>221</v>
      </c>
      <c r="AC40" s="283" t="s">
        <v>222</v>
      </c>
      <c r="AD40" s="91"/>
      <c r="AE40" s="91"/>
      <c r="AF40" s="91"/>
      <c r="AG40" s="218"/>
      <c r="AH40" s="217"/>
      <c r="AI40" s="91"/>
      <c r="AJ40" s="91"/>
      <c r="AK40" s="91"/>
      <c r="AL40" s="91"/>
      <c r="AM40" s="218"/>
    </row>
    <row r="41" spans="2:39" ht="15.65" customHeight="1" x14ac:dyDescent="0.25">
      <c r="B41" s="46"/>
      <c r="C41" s="47"/>
      <c r="D41" s="47"/>
      <c r="E41" s="47"/>
      <c r="F41" s="47"/>
      <c r="G41" s="47"/>
      <c r="H41" s="48"/>
      <c r="I41" s="48"/>
      <c r="J41" s="63"/>
      <c r="K41" s="63"/>
      <c r="L41" s="63"/>
      <c r="M41" s="63"/>
      <c r="N41" s="896"/>
      <c r="O41" s="895" t="s">
        <v>257</v>
      </c>
      <c r="P41" s="898"/>
      <c r="Q41" s="49"/>
      <c r="Y41" s="286" t="s">
        <v>223</v>
      </c>
      <c r="Z41" s="74" t="s">
        <v>211</v>
      </c>
      <c r="AA41" s="283" t="s">
        <v>84</v>
      </c>
      <c r="AB41" s="287"/>
      <c r="AC41" s="283" t="s">
        <v>224</v>
      </c>
      <c r="AD41" s="91"/>
      <c r="AE41" s="91"/>
      <c r="AF41" s="91"/>
      <c r="AG41" s="218"/>
      <c r="AH41" s="217"/>
      <c r="AI41" s="91"/>
      <c r="AJ41" s="91"/>
      <c r="AK41" s="91"/>
      <c r="AL41" s="91"/>
      <c r="AM41" s="218"/>
    </row>
    <row r="42" spans="2:39" ht="15.65" customHeight="1" x14ac:dyDescent="0.25">
      <c r="B42" s="46"/>
      <c r="C42" s="63" t="s">
        <v>502</v>
      </c>
      <c r="D42" s="47"/>
      <c r="E42" s="353"/>
      <c r="F42" s="354"/>
      <c r="G42" s="503"/>
      <c r="H42" s="998"/>
      <c r="I42" s="999"/>
      <c r="J42" s="57"/>
      <c r="K42" s="63"/>
      <c r="L42" s="63"/>
      <c r="M42" s="63"/>
      <c r="N42" s="103"/>
      <c r="O42" s="111">
        <f>IF(AND(F42="",G42="",I42=""),0,IFERROR(IF(H42&lt;&gt;"",AC42*AB42,AA42*'Key Values'!$C$149),'Hidden Lists and Summaries'!$C$158))</f>
        <v>0</v>
      </c>
      <c r="P42" s="105" t="s">
        <v>90</v>
      </c>
      <c r="Q42" s="49"/>
      <c r="Y42" s="512">
        <f>'Key Values'!$C$31</f>
        <v>9.2999999999999999E-2</v>
      </c>
      <c r="Z42" s="513">
        <f>'Key Values'!$D$31</f>
        <v>3.6700000000000003E-2</v>
      </c>
      <c r="AA42" s="268" t="e">
        <f>AB42*Y42+AB42*I42*Z42</f>
        <v>#N/A</v>
      </c>
      <c r="AB42" s="504" t="e">
        <f>VLOOKUP(G42,Table13[#All], 3, FALSE)*F42</f>
        <v>#N/A</v>
      </c>
      <c r="AC42" s="91">
        <f>H42</f>
        <v>0</v>
      </c>
      <c r="AD42" s="217"/>
      <c r="AE42" s="91"/>
      <c r="AF42" s="91"/>
      <c r="AG42" s="218"/>
      <c r="AH42" s="217"/>
      <c r="AI42" s="91"/>
      <c r="AJ42" s="91"/>
      <c r="AK42" s="91"/>
      <c r="AL42" s="91"/>
      <c r="AM42" s="218"/>
    </row>
    <row r="43" spans="2:39" ht="15.65" customHeight="1" x14ac:dyDescent="0.25">
      <c r="B43" s="53"/>
      <c r="C43" s="54"/>
      <c r="D43" s="54"/>
      <c r="E43" s="54"/>
      <c r="F43" s="54"/>
      <c r="G43" s="54"/>
      <c r="H43" s="61"/>
      <c r="I43" s="65"/>
      <c r="J43" s="61"/>
      <c r="K43" s="61"/>
      <c r="L43" s="61"/>
      <c r="M43" s="61"/>
      <c r="N43" s="109" t="s">
        <v>120</v>
      </c>
      <c r="O43" s="72">
        <f>SUM(O42)</f>
        <v>0</v>
      </c>
      <c r="P43" s="110" t="s">
        <v>90</v>
      </c>
      <c r="Q43" s="55"/>
      <c r="Y43" s="217"/>
      <c r="Z43" s="91"/>
      <c r="AA43" s="91"/>
      <c r="AB43" s="91"/>
      <c r="AC43" s="104"/>
      <c r="AD43" s="91"/>
      <c r="AE43" s="91"/>
      <c r="AF43" s="91"/>
      <c r="AG43" s="218"/>
      <c r="AH43" s="217"/>
      <c r="AI43" s="91">
        <f>O43</f>
        <v>0</v>
      </c>
      <c r="AJ43" s="91"/>
      <c r="AK43" s="91" t="str">
        <f>'Hidden Lists and Summaries'!$B$5</f>
        <v>Embodied (Upstream)</v>
      </c>
      <c r="AL43" s="91"/>
      <c r="AM43" s="218" t="s">
        <v>214</v>
      </c>
    </row>
    <row r="44" spans="2:39" ht="15.65" customHeight="1" x14ac:dyDescent="0.25">
      <c r="B44" s="71"/>
      <c r="C44" s="71"/>
      <c r="D44" s="71"/>
      <c r="E44" s="71"/>
      <c r="F44" s="71"/>
      <c r="G44" s="71"/>
      <c r="H44" s="71"/>
      <c r="I44" s="71"/>
      <c r="J44" s="71"/>
      <c r="K44" s="71"/>
      <c r="L44" s="71"/>
      <c r="M44" s="71"/>
      <c r="N44" s="71"/>
      <c r="O44" s="71"/>
      <c r="P44" s="71"/>
      <c r="Q44" s="71"/>
      <c r="Y44" s="217"/>
      <c r="Z44" s="91"/>
      <c r="AA44" s="91"/>
      <c r="AB44" s="91"/>
      <c r="AC44" s="91"/>
      <c r="AD44" s="91"/>
      <c r="AE44" s="91"/>
      <c r="AF44" s="91"/>
      <c r="AG44" s="218"/>
      <c r="AH44" s="217"/>
      <c r="AI44" s="91"/>
      <c r="AJ44" s="91"/>
      <c r="AK44" s="91"/>
      <c r="AL44" s="91"/>
      <c r="AM44" s="218"/>
    </row>
    <row r="45" spans="2:39" ht="15.65" customHeight="1" x14ac:dyDescent="0.25">
      <c r="B45" s="121"/>
      <c r="C45" s="122"/>
      <c r="D45" s="122"/>
      <c r="E45" s="122"/>
      <c r="F45" s="122"/>
      <c r="G45" s="122"/>
      <c r="H45" s="122"/>
      <c r="I45" s="122"/>
      <c r="J45" s="122"/>
      <c r="K45" s="122"/>
      <c r="L45" s="122"/>
      <c r="M45" s="122"/>
      <c r="N45" s="122"/>
      <c r="O45" s="122"/>
      <c r="P45" s="122"/>
      <c r="Q45" s="123"/>
      <c r="Y45" s="217"/>
      <c r="Z45" s="91"/>
      <c r="AA45" s="91"/>
      <c r="AB45" s="91"/>
      <c r="AC45" s="91"/>
      <c r="AD45" s="91"/>
      <c r="AE45" s="91"/>
      <c r="AF45" s="91"/>
      <c r="AG45" s="218"/>
      <c r="AH45" s="217"/>
      <c r="AI45" s="91"/>
      <c r="AJ45" s="91"/>
      <c r="AK45" s="91"/>
      <c r="AL45" s="91"/>
      <c r="AM45" s="218"/>
    </row>
    <row r="46" spans="2:39" ht="15" customHeight="1" x14ac:dyDescent="0.25">
      <c r="B46" s="124"/>
      <c r="C46" s="125" t="s">
        <v>227</v>
      </c>
      <c r="D46" s="126"/>
      <c r="E46" s="126"/>
      <c r="F46" s="126"/>
      <c r="G46" s="126"/>
      <c r="H46" s="126"/>
      <c r="I46" s="126"/>
      <c r="J46" s="126"/>
      <c r="K46" s="126"/>
      <c r="L46" s="126"/>
      <c r="M46" s="126"/>
      <c r="N46" s="126"/>
      <c r="O46" s="126"/>
      <c r="P46" s="126"/>
      <c r="Q46" s="127"/>
      <c r="Y46" s="217"/>
      <c r="Z46" s="91"/>
      <c r="AA46" s="91"/>
      <c r="AB46" s="91"/>
      <c r="AC46" s="91"/>
      <c r="AD46" s="91"/>
      <c r="AE46" s="91"/>
      <c r="AF46" s="91"/>
      <c r="AG46" s="218"/>
      <c r="AH46" s="217"/>
      <c r="AI46" s="91"/>
      <c r="AJ46" s="91"/>
      <c r="AK46" s="91"/>
      <c r="AL46" s="91"/>
      <c r="AM46" s="218"/>
    </row>
    <row r="47" spans="2:39" ht="15.65" customHeight="1" x14ac:dyDescent="0.25">
      <c r="B47" s="171"/>
      <c r="C47" s="153"/>
      <c r="D47" s="153"/>
      <c r="E47" s="130" t="s">
        <v>80</v>
      </c>
      <c r="F47" s="130" t="s">
        <v>81</v>
      </c>
      <c r="G47" s="175"/>
      <c r="H47" s="175"/>
      <c r="I47" s="175"/>
      <c r="J47" s="172"/>
      <c r="K47" s="153"/>
      <c r="L47" s="153"/>
      <c r="M47" s="153"/>
      <c r="N47" s="153"/>
      <c r="O47" s="130" t="s">
        <v>82</v>
      </c>
      <c r="P47" s="153"/>
      <c r="Q47" s="174"/>
      <c r="Y47" s="285" t="s">
        <v>228</v>
      </c>
      <c r="Z47" s="285" t="s">
        <v>229</v>
      </c>
      <c r="AA47" s="73" t="s">
        <v>230</v>
      </c>
      <c r="AB47" s="73" t="s">
        <v>231</v>
      </c>
      <c r="AC47" s="73" t="s">
        <v>232</v>
      </c>
      <c r="AD47" s="295" t="s">
        <v>233</v>
      </c>
      <c r="AE47" s="295" t="s">
        <v>234</v>
      </c>
      <c r="AF47" s="91"/>
      <c r="AG47" s="218"/>
      <c r="AH47" s="217"/>
      <c r="AI47" s="91"/>
      <c r="AJ47" s="91"/>
      <c r="AK47" s="91"/>
      <c r="AL47" s="91"/>
      <c r="AM47" s="218"/>
    </row>
    <row r="48" spans="2:39" ht="15.65" customHeight="1" x14ac:dyDescent="0.25">
      <c r="B48" s="158"/>
      <c r="C48" s="154"/>
      <c r="D48" s="154"/>
      <c r="E48" s="159"/>
      <c r="F48" s="159"/>
      <c r="G48" s="75"/>
      <c r="H48" s="75"/>
      <c r="I48" s="75"/>
      <c r="J48" s="161"/>
      <c r="K48" s="154"/>
      <c r="L48" s="154"/>
      <c r="M48" s="154"/>
      <c r="N48" s="154"/>
      <c r="O48" s="159"/>
      <c r="P48" s="154"/>
      <c r="Q48" s="170"/>
      <c r="Y48" s="286"/>
      <c r="Z48" s="286" t="s">
        <v>84</v>
      </c>
      <c r="AA48" s="73" t="s">
        <v>84</v>
      </c>
      <c r="AB48" s="74"/>
      <c r="AC48" s="74"/>
      <c r="AD48" s="295"/>
      <c r="AE48" s="295"/>
      <c r="AF48" s="91"/>
      <c r="AG48" s="218"/>
      <c r="AH48" s="217"/>
      <c r="AI48" s="91"/>
      <c r="AJ48" s="91"/>
      <c r="AK48" s="91"/>
      <c r="AL48" s="91"/>
      <c r="AM48" s="218"/>
    </row>
    <row r="49" spans="1:39" ht="15.65" customHeight="1" x14ac:dyDescent="0.25">
      <c r="B49" s="46"/>
      <c r="C49" s="815" t="s">
        <v>235</v>
      </c>
      <c r="D49" s="47"/>
      <c r="E49" s="552"/>
      <c r="F49" s="906" t="s">
        <v>86</v>
      </c>
      <c r="G49" s="75"/>
      <c r="H49" s="48"/>
      <c r="I49" s="48"/>
      <c r="J49" s="47"/>
      <c r="K49" s="47"/>
      <c r="L49" s="47"/>
      <c r="M49" s="47"/>
      <c r="N49" s="47"/>
      <c r="O49" s="47"/>
      <c r="P49" s="47"/>
      <c r="Q49" s="49"/>
      <c r="Y49" s="554" t="s">
        <v>120</v>
      </c>
      <c r="Z49" s="104">
        <f>E49*VLOOKUP(F49,EnergyConversionTable[],3)</f>
        <v>0</v>
      </c>
      <c r="AA49" s="104"/>
      <c r="AB49" s="278"/>
      <c r="AC49" s="274" t="s">
        <v>236</v>
      </c>
      <c r="AD49" s="553" t="str">
        <f>overall_locationBasedImportEmissions</f>
        <v>Error -  Review inputs</v>
      </c>
      <c r="AE49" s="278">
        <f>AB52</f>
        <v>0</v>
      </c>
      <c r="AF49" s="91"/>
      <c r="AG49" s="218"/>
      <c r="AH49" s="217"/>
      <c r="AI49" s="91"/>
      <c r="AJ49" s="91"/>
      <c r="AK49" s="91"/>
      <c r="AL49" s="91"/>
      <c r="AM49" s="218"/>
    </row>
    <row r="50" spans="1:39" x14ac:dyDescent="0.25">
      <c r="B50" s="46"/>
      <c r="C50" s="806" t="s">
        <v>237</v>
      </c>
      <c r="D50" s="47"/>
      <c r="E50" s="548"/>
      <c r="F50" s="907" t="s">
        <v>86</v>
      </c>
      <c r="G50" s="75" t="str">
        <f>IF('Electricity Usage'!$H$71&gt;1,'Hidden Lists and Summaries'!$D$160,"")</f>
        <v/>
      </c>
      <c r="H50" s="48"/>
      <c r="I50" s="48"/>
      <c r="J50" s="47"/>
      <c r="K50" s="47"/>
      <c r="L50" s="47"/>
      <c r="M50" s="47"/>
      <c r="N50" s="103" t="s">
        <v>236</v>
      </c>
      <c r="O50" s="111" t="str">
        <f>IFERROR(AD49*AE49,'Hidden Lists and Summaries'!$C$158)</f>
        <v>Error -  Review inputs</v>
      </c>
      <c r="P50" s="105" t="s">
        <v>90</v>
      </c>
      <c r="Q50" s="49"/>
      <c r="Y50" s="555" t="s">
        <v>238</v>
      </c>
      <c r="Z50" s="91">
        <f>E50*VLOOKUP(F50,EnergyConversionTable[],3)</f>
        <v>0</v>
      </c>
      <c r="AA50" s="91"/>
      <c r="AB50" s="218"/>
      <c r="AC50" s="217" t="s">
        <v>239</v>
      </c>
      <c r="AD50" s="499">
        <f>overall_ImportEmissions</f>
        <v>0</v>
      </c>
      <c r="AE50" s="218">
        <f>AB52</f>
        <v>0</v>
      </c>
      <c r="AF50" s="91"/>
      <c r="AG50" s="218"/>
      <c r="AH50" s="217"/>
      <c r="AI50" s="68">
        <f>O51</f>
        <v>0</v>
      </c>
      <c r="AJ50" s="68"/>
      <c r="AK50" s="68" t="s">
        <v>240</v>
      </c>
      <c r="AL50" s="91"/>
      <c r="AM50" s="218"/>
    </row>
    <row r="51" spans="1:39" ht="15.65" customHeight="1" x14ac:dyDescent="0.25">
      <c r="B51" s="46"/>
      <c r="C51" s="806"/>
      <c r="D51" s="97"/>
      <c r="E51" s="75"/>
      <c r="F51" s="75"/>
      <c r="G51" s="75"/>
      <c r="H51" s="48"/>
      <c r="I51" s="48"/>
      <c r="J51" s="48"/>
      <c r="K51" s="48"/>
      <c r="L51" s="47"/>
      <c r="M51" s="47"/>
      <c r="N51" s="106" t="s">
        <v>239</v>
      </c>
      <c r="O51" s="107">
        <f>IFERROR(AD50*AE50,'Hidden Lists and Summaries'!$C$158)</f>
        <v>0</v>
      </c>
      <c r="P51" s="108" t="s">
        <v>90</v>
      </c>
      <c r="Q51" s="49"/>
      <c r="Y51" s="555" t="s">
        <v>241</v>
      </c>
      <c r="Z51" s="91">
        <f>E50*VLOOKUP(F50,EnergyConversionTable[],3)</f>
        <v>0</v>
      </c>
      <c r="AA51" s="91">
        <f>overall_onsiteElecGenRenewables+overall_verifiedRenewableElectricityImported</f>
        <v>0</v>
      </c>
      <c r="AB51" s="218">
        <f>IF(AA51=0,0,Z51/AA51)</f>
        <v>0</v>
      </c>
      <c r="AC51" s="217" t="s">
        <v>242</v>
      </c>
      <c r="AD51" s="499">
        <f>total_embodiedEmissionsCombustionBasedElectricity</f>
        <v>0</v>
      </c>
      <c r="AE51" s="218">
        <f>AB53</f>
        <v>0</v>
      </c>
      <c r="AF51" s="91"/>
      <c r="AG51" s="218"/>
      <c r="AH51" s="217"/>
      <c r="AI51" s="68">
        <f>O52</f>
        <v>0</v>
      </c>
      <c r="AJ51" s="68"/>
      <c r="AK51" s="91" t="str">
        <f>'Hidden Lists and Summaries'!$B$5</f>
        <v>Embodied (Upstream)</v>
      </c>
      <c r="AL51" s="91"/>
      <c r="AM51" s="218" t="s">
        <v>243</v>
      </c>
    </row>
    <row r="52" spans="1:39" ht="15.65" customHeight="1" x14ac:dyDescent="0.25">
      <c r="B52" s="46"/>
      <c r="C52" s="805" t="s">
        <v>244</v>
      </c>
      <c r="D52" s="81"/>
      <c r="E52" s="552"/>
      <c r="F52" s="906" t="s">
        <v>86</v>
      </c>
      <c r="G52" s="75" t="str">
        <f>IF('Electricity Usage'!$E$71&gt;1,'Hidden Lists and Summaries'!$D$157,"")</f>
        <v/>
      </c>
      <c r="H52" s="48"/>
      <c r="I52" s="48"/>
      <c r="J52" s="47"/>
      <c r="K52" s="47"/>
      <c r="L52" s="47"/>
      <c r="M52" s="47"/>
      <c r="N52" s="106" t="s">
        <v>242</v>
      </c>
      <c r="O52" s="107">
        <f>IFERROR(AD51*AE51,'Hidden Lists and Summaries'!$C$158)</f>
        <v>0</v>
      </c>
      <c r="P52" s="108" t="s">
        <v>90</v>
      </c>
      <c r="Q52" s="49"/>
      <c r="Y52" s="555" t="s">
        <v>246</v>
      </c>
      <c r="Z52" s="91">
        <f>E52*VLOOKUP(F52,EnergyConversionTable[],3)</f>
        <v>0</v>
      </c>
      <c r="AA52" s="91">
        <f>overall_totalImportedElectricity</f>
        <v>0</v>
      </c>
      <c r="AB52" s="218">
        <f>IF(AA52=0,0,Z52/AA52)</f>
        <v>0</v>
      </c>
      <c r="AC52" s="224" t="s">
        <v>247</v>
      </c>
      <c r="AD52" s="557">
        <f>total_emissionsCombustionBasedElectricity</f>
        <v>0</v>
      </c>
      <c r="AE52" s="225">
        <f>AB53</f>
        <v>0</v>
      </c>
      <c r="AF52" s="91"/>
      <c r="AG52" s="218"/>
      <c r="AH52" s="217"/>
      <c r="AI52" s="68">
        <f>O53</f>
        <v>0</v>
      </c>
      <c r="AJ52" s="68"/>
      <c r="AK52" s="68" t="s">
        <v>248</v>
      </c>
      <c r="AL52" s="91"/>
      <c r="AM52" s="218"/>
    </row>
    <row r="53" spans="1:39" x14ac:dyDescent="0.25">
      <c r="B53" s="46"/>
      <c r="C53" s="805" t="s">
        <v>249</v>
      </c>
      <c r="D53" s="47"/>
      <c r="E53" s="548"/>
      <c r="F53" s="907" t="s">
        <v>86</v>
      </c>
      <c r="G53" s="75" t="str">
        <f>IF('Electricity Usage'!$F$71&gt;1,'Hidden Lists and Summaries'!$D$158,"")</f>
        <v/>
      </c>
      <c r="H53" s="48"/>
      <c r="I53" s="48"/>
      <c r="J53" s="47"/>
      <c r="K53" s="47"/>
      <c r="L53" s="47"/>
      <c r="M53" s="47"/>
      <c r="N53" s="106" t="s">
        <v>247</v>
      </c>
      <c r="O53" s="107">
        <f>IFERROR(AD52*AE52,'Hidden Lists and Summaries'!$C$158)</f>
        <v>0</v>
      </c>
      <c r="P53" s="108" t="s">
        <v>90</v>
      </c>
      <c r="Q53" s="49"/>
      <c r="Y53" s="556" t="s">
        <v>251</v>
      </c>
      <c r="Z53" s="185">
        <f>E53*VLOOKUP(F53,EnergyConversionTable[],3)</f>
        <v>0</v>
      </c>
      <c r="AA53" s="185">
        <f>overall_totalOnsiteCombustionElecGen</f>
        <v>0</v>
      </c>
      <c r="AB53" s="225">
        <f>IF(AA53=0,0,Z53/AA53)</f>
        <v>0</v>
      </c>
      <c r="AC53" s="91"/>
      <c r="AD53" s="91"/>
      <c r="AE53" s="499"/>
      <c r="AF53" s="91"/>
      <c r="AG53" s="218"/>
      <c r="AH53" s="217"/>
      <c r="AI53" s="68"/>
      <c r="AJ53" s="68"/>
      <c r="AK53" s="68"/>
      <c r="AL53" s="91"/>
      <c r="AM53" s="218"/>
    </row>
    <row r="54" spans="1:39" ht="15.65" customHeight="1" x14ac:dyDescent="0.25">
      <c r="B54" s="53"/>
      <c r="C54" s="54"/>
      <c r="D54" s="54"/>
      <c r="E54" s="54"/>
      <c r="F54" s="54"/>
      <c r="G54" s="54"/>
      <c r="H54" s="65"/>
      <c r="I54" s="65"/>
      <c r="J54" s="54"/>
      <c r="K54" s="54"/>
      <c r="L54" s="54"/>
      <c r="M54" s="54"/>
      <c r="N54" s="109" t="s">
        <v>120</v>
      </c>
      <c r="O54" s="72">
        <f>SUM(O50:O53)</f>
        <v>0</v>
      </c>
      <c r="P54" s="110" t="s">
        <v>90</v>
      </c>
      <c r="Q54" s="55"/>
      <c r="Y54" s="217"/>
      <c r="Z54" s="91"/>
      <c r="AA54" s="91"/>
      <c r="AB54" s="91"/>
      <c r="AC54" s="91"/>
      <c r="AD54" s="91"/>
      <c r="AE54" s="91"/>
      <c r="AF54" s="91"/>
      <c r="AG54" s="218"/>
      <c r="AH54" s="217"/>
      <c r="AI54" s="91"/>
      <c r="AJ54" s="91"/>
      <c r="AK54" s="91"/>
      <c r="AL54" s="91"/>
      <c r="AM54" s="218"/>
    </row>
    <row r="55" spans="1:39" ht="15.65" customHeight="1" x14ac:dyDescent="0.25">
      <c r="A55" s="70"/>
      <c r="B55" s="56"/>
      <c r="C55" s="56"/>
      <c r="D55" s="56"/>
      <c r="E55" s="56"/>
      <c r="F55" s="56"/>
      <c r="G55" s="56"/>
      <c r="H55" s="68"/>
      <c r="I55" s="68"/>
      <c r="J55" s="56"/>
      <c r="K55" s="56"/>
      <c r="L55" s="56"/>
      <c r="M55" s="56"/>
      <c r="N55" s="70"/>
      <c r="O55" s="70"/>
      <c r="P55" s="68"/>
      <c r="Q55" s="56"/>
      <c r="Y55" s="217"/>
      <c r="Z55" s="91"/>
      <c r="AA55" s="91"/>
      <c r="AB55" s="91"/>
      <c r="AC55" s="91"/>
      <c r="AD55" s="91"/>
      <c r="AE55" s="91"/>
      <c r="AF55" s="91"/>
      <c r="AG55" s="218"/>
      <c r="AH55" s="217"/>
      <c r="AI55" s="91"/>
      <c r="AJ55" s="91"/>
      <c r="AK55" s="91"/>
      <c r="AL55" s="91"/>
      <c r="AM55" s="218"/>
    </row>
    <row r="56" spans="1:39" ht="15.65" customHeight="1" x14ac:dyDescent="0.25">
      <c r="A56" s="70"/>
      <c r="B56" s="121"/>
      <c r="C56" s="122"/>
      <c r="D56" s="122"/>
      <c r="E56" s="122"/>
      <c r="F56" s="122"/>
      <c r="G56" s="122"/>
      <c r="H56" s="122"/>
      <c r="I56" s="122"/>
      <c r="J56" s="122"/>
      <c r="K56" s="122"/>
      <c r="L56" s="122"/>
      <c r="M56" s="122"/>
      <c r="N56" s="122"/>
      <c r="O56" s="122"/>
      <c r="P56" s="122"/>
      <c r="Q56" s="123"/>
      <c r="Y56" s="217"/>
      <c r="Z56" s="91"/>
      <c r="AA56" s="91"/>
      <c r="AB56" s="91"/>
      <c r="AC56" s="91"/>
      <c r="AD56" s="91"/>
      <c r="AE56" s="91"/>
      <c r="AF56" s="91"/>
      <c r="AG56" s="218"/>
      <c r="AH56" s="217"/>
      <c r="AI56" s="91"/>
      <c r="AJ56" s="91"/>
      <c r="AK56" s="91"/>
      <c r="AL56" s="91"/>
      <c r="AM56" s="218"/>
    </row>
    <row r="57" spans="1:39" ht="15.65" customHeight="1" x14ac:dyDescent="0.25">
      <c r="A57" s="70"/>
      <c r="B57" s="124"/>
      <c r="C57" s="125" t="s">
        <v>252</v>
      </c>
      <c r="D57" s="126"/>
      <c r="E57" s="126"/>
      <c r="F57" s="126"/>
      <c r="G57" s="126"/>
      <c r="H57" s="126"/>
      <c r="I57" s="126"/>
      <c r="J57" s="126"/>
      <c r="K57" s="126"/>
      <c r="L57" s="126"/>
      <c r="M57" s="126"/>
      <c r="N57" s="126"/>
      <c r="O57" s="126"/>
      <c r="P57" s="126"/>
      <c r="Q57" s="127"/>
      <c r="Y57" s="551"/>
      <c r="Z57" s="91"/>
      <c r="AA57" s="91"/>
      <c r="AB57" s="91"/>
      <c r="AC57" s="91"/>
      <c r="AD57" s="91"/>
      <c r="AE57" s="91"/>
      <c r="AF57" s="91"/>
      <c r="AG57" s="218"/>
      <c r="AH57" s="217"/>
      <c r="AI57" s="91"/>
      <c r="AJ57" s="91"/>
      <c r="AK57" s="91"/>
      <c r="AL57" s="91"/>
      <c r="AM57" s="218"/>
    </row>
    <row r="58" spans="1:39" ht="15.65" customHeight="1" x14ac:dyDescent="0.25">
      <c r="A58" s="70"/>
      <c r="B58" s="171"/>
      <c r="C58" s="153"/>
      <c r="D58" s="153"/>
      <c r="E58" s="130" t="s">
        <v>253</v>
      </c>
      <c r="F58" s="130" t="s">
        <v>81</v>
      </c>
      <c r="G58" s="175"/>
      <c r="H58" s="175"/>
      <c r="I58" s="175"/>
      <c r="J58" s="172"/>
      <c r="K58" s="153"/>
      <c r="L58" s="153"/>
      <c r="M58" s="153"/>
      <c r="N58" s="153"/>
      <c r="O58" s="130" t="s">
        <v>82</v>
      </c>
      <c r="P58" s="153"/>
      <c r="Q58" s="174"/>
      <c r="Y58" s="285" t="s">
        <v>254</v>
      </c>
      <c r="Z58" s="285" t="s">
        <v>503</v>
      </c>
      <c r="AA58" s="283" t="s">
        <v>256</v>
      </c>
      <c r="AB58" s="91"/>
      <c r="AC58" s="91"/>
      <c r="AD58" s="91"/>
      <c r="AE58" s="91"/>
      <c r="AF58" s="91"/>
      <c r="AG58" s="218"/>
      <c r="AH58" s="217"/>
      <c r="AI58" s="91"/>
      <c r="AJ58" s="91"/>
      <c r="AK58" s="91"/>
      <c r="AL58" s="91"/>
      <c r="AM58" s="218"/>
    </row>
    <row r="59" spans="1:39" ht="15.65" customHeight="1" x14ac:dyDescent="0.25">
      <c r="B59" s="209"/>
      <c r="C59" s="200"/>
      <c r="D59" s="200"/>
      <c r="E59" s="200"/>
      <c r="F59" s="200"/>
      <c r="G59" s="200"/>
      <c r="H59" s="79"/>
      <c r="I59" s="79"/>
      <c r="J59" s="200"/>
      <c r="K59" s="200"/>
      <c r="L59" s="200"/>
      <c r="M59" s="200"/>
      <c r="N59" s="210"/>
      <c r="O59" s="210"/>
      <c r="P59" s="210"/>
      <c r="Q59" s="212"/>
      <c r="Y59" s="286" t="s">
        <v>128</v>
      </c>
      <c r="Z59" s="286"/>
      <c r="AA59" s="283" t="s">
        <v>116</v>
      </c>
      <c r="AB59" s="91"/>
      <c r="AC59" s="91"/>
      <c r="AD59" s="91"/>
      <c r="AE59" s="91"/>
      <c r="AF59" s="91"/>
      <c r="AG59" s="218"/>
      <c r="AH59" s="217"/>
      <c r="AI59" s="91"/>
      <c r="AJ59" s="91"/>
      <c r="AK59" s="91"/>
      <c r="AL59" s="91"/>
      <c r="AM59" s="218"/>
    </row>
    <row r="60" spans="1:39" ht="15.65" customHeight="1" x14ac:dyDescent="0.25">
      <c r="B60" s="46"/>
      <c r="C60" s="805" t="s">
        <v>579</v>
      </c>
      <c r="D60" s="97"/>
      <c r="E60" s="549"/>
      <c r="F60" s="550" t="s">
        <v>90</v>
      </c>
      <c r="G60" s="1532" t="str">
        <f>IF(IFERROR(OR('Electricity Usage'!$G$71&gt;1,E60*VLOOKUP(F60,massConv[],3,FALSE)&gt;overall_CHPSteamGenerated),FALSE),'Hidden Lists and Summaries'!$D$159,"")</f>
        <v/>
      </c>
      <c r="H60" s="87"/>
      <c r="I60" s="87"/>
      <c r="J60" s="52"/>
      <c r="K60" s="52"/>
      <c r="L60" s="52"/>
      <c r="M60" s="52"/>
      <c r="N60" s="103" t="s">
        <v>257</v>
      </c>
      <c r="O60" s="111" t="str">
        <f>IFERROR($Z$60*AA60,'Hidden Lists and Summaries'!$C$158)</f>
        <v>Error -  Review inputs</v>
      </c>
      <c r="P60" s="105" t="s">
        <v>90</v>
      </c>
      <c r="Q60" s="49"/>
      <c r="Y60" s="274">
        <f>IFERROR(E60*VLOOKUP(F60,massConv[],3,FALSE),0)</f>
        <v>0</v>
      </c>
      <c r="Z60" s="104" t="e">
        <f>IF(overall_CHPSteamGenerated=0,0,Y60/overall_CHPSteamGenerated)</f>
        <v>#N/A</v>
      </c>
      <c r="AA60" s="278">
        <f>overall_embodiedCHPSteam</f>
        <v>0</v>
      </c>
      <c r="AB60" s="558" t="s">
        <v>257</v>
      </c>
      <c r="AC60" s="91"/>
      <c r="AD60"/>
      <c r="AE60" s="91"/>
      <c r="AF60" s="91"/>
      <c r="AG60" s="218"/>
      <c r="AH60" s="217"/>
      <c r="AI60" s="91" t="str">
        <f>O60</f>
        <v>Error -  Review inputs</v>
      </c>
      <c r="AJ60" s="91"/>
      <c r="AK60" s="91" t="str">
        <f>'Hidden Lists and Summaries'!$B$5</f>
        <v>Embodied (Upstream)</v>
      </c>
      <c r="AL60" s="91"/>
      <c r="AM60" s="218" t="s">
        <v>243</v>
      </c>
    </row>
    <row r="61" spans="1:39" ht="15.65" customHeight="1" x14ac:dyDescent="0.25">
      <c r="B61" s="46"/>
      <c r="C61" s="52"/>
      <c r="D61" s="52"/>
      <c r="E61" s="52"/>
      <c r="F61" s="52"/>
      <c r="G61" s="52"/>
      <c r="H61" s="87"/>
      <c r="I61" s="87"/>
      <c r="J61" s="52"/>
      <c r="K61" s="52"/>
      <c r="L61" s="52"/>
      <c r="M61" s="52"/>
      <c r="N61" s="106" t="s">
        <v>259</v>
      </c>
      <c r="O61" s="107" t="str">
        <f>IFERROR($Z$60*AA61,'Hidden Lists and Summaries'!$C$158)</f>
        <v>Error -  Review inputs</v>
      </c>
      <c r="P61" s="108" t="s">
        <v>90</v>
      </c>
      <c r="Q61" s="49"/>
      <c r="Y61" s="224"/>
      <c r="Z61" s="185"/>
      <c r="AA61" s="225">
        <f>overall_CHP_EmissionsSteam</f>
        <v>0</v>
      </c>
      <c r="AB61" s="558" t="s">
        <v>259</v>
      </c>
      <c r="AC61" s="91"/>
      <c r="AD61"/>
      <c r="AE61" s="91"/>
      <c r="AF61" s="91"/>
      <c r="AG61" s="218"/>
      <c r="AH61" s="217"/>
      <c r="AI61" s="91" t="str">
        <f>O61</f>
        <v>Error -  Review inputs</v>
      </c>
      <c r="AJ61" s="91"/>
      <c r="AK61" s="68" t="s">
        <v>248</v>
      </c>
      <c r="AL61" s="91"/>
      <c r="AM61" s="218"/>
    </row>
    <row r="62" spans="1:39" ht="15.65" customHeight="1" x14ac:dyDescent="0.25">
      <c r="B62" s="53"/>
      <c r="C62" s="54"/>
      <c r="D62" s="54"/>
      <c r="E62" s="54"/>
      <c r="F62" s="54"/>
      <c r="G62" s="54"/>
      <c r="H62" s="65"/>
      <c r="I62" s="65"/>
      <c r="J62" s="54"/>
      <c r="K62" s="54"/>
      <c r="L62" s="54"/>
      <c r="M62" s="54"/>
      <c r="N62" s="109" t="s">
        <v>120</v>
      </c>
      <c r="O62" s="72">
        <f>SUM(O60:O61)</f>
        <v>0</v>
      </c>
      <c r="P62" s="110" t="s">
        <v>90</v>
      </c>
      <c r="Q62" s="55"/>
      <c r="Y62" s="217"/>
      <c r="Z62" s="91"/>
      <c r="AA62" s="91"/>
      <c r="AB62" s="91"/>
      <c r="AC62" s="91"/>
      <c r="AD62" s="91"/>
      <c r="AE62" s="91"/>
      <c r="AF62" s="91"/>
      <c r="AG62" s="218"/>
      <c r="AH62" s="217"/>
      <c r="AI62" s="91"/>
      <c r="AJ62" s="91"/>
      <c r="AK62" s="91"/>
      <c r="AL62" s="91"/>
      <c r="AM62" s="218"/>
    </row>
    <row r="63" spans="1:39" ht="15.65" customHeight="1" x14ac:dyDescent="0.25">
      <c r="B63" s="71"/>
      <c r="C63" s="71"/>
      <c r="D63" s="71"/>
      <c r="E63" s="71"/>
      <c r="F63" s="71"/>
      <c r="G63" s="71"/>
      <c r="H63" s="71"/>
      <c r="I63" s="71"/>
      <c r="J63" s="71"/>
      <c r="K63" s="71"/>
      <c r="L63" s="71"/>
      <c r="M63" s="71"/>
      <c r="N63" s="208"/>
      <c r="O63" s="208"/>
      <c r="P63" s="71"/>
      <c r="Q63" s="71"/>
      <c r="Y63" s="217"/>
      <c r="Z63"/>
      <c r="AA63"/>
      <c r="AB63"/>
      <c r="AC63" s="91"/>
      <c r="AD63" s="91"/>
      <c r="AE63" s="91"/>
      <c r="AF63" s="91"/>
      <c r="AG63" s="218"/>
      <c r="AH63" s="217"/>
      <c r="AI63" s="91"/>
      <c r="AJ63" s="91"/>
      <c r="AK63" s="91"/>
      <c r="AL63" s="91"/>
      <c r="AM63" s="218"/>
    </row>
    <row r="64" spans="1:39" ht="15.65" customHeight="1" x14ac:dyDescent="0.25">
      <c r="B64" s="121"/>
      <c r="C64" s="122"/>
      <c r="D64" s="122"/>
      <c r="E64" s="122"/>
      <c r="F64" s="122"/>
      <c r="G64" s="169" t="s">
        <v>504</v>
      </c>
      <c r="H64" s="122"/>
      <c r="I64" s="122"/>
      <c r="J64" s="122"/>
      <c r="K64" s="122"/>
      <c r="L64" s="122"/>
      <c r="M64" s="122"/>
      <c r="N64" s="122"/>
      <c r="O64" s="122"/>
      <c r="P64" s="122"/>
      <c r="Q64" s="123"/>
      <c r="Y64" s="217"/>
      <c r="Z64" s="91"/>
      <c r="AA64" s="91"/>
      <c r="AB64" s="91"/>
      <c r="AC64" s="91"/>
      <c r="AD64" s="91"/>
      <c r="AE64" s="91"/>
      <c r="AF64" s="91"/>
      <c r="AH64" s="217"/>
      <c r="AI64" s="91"/>
      <c r="AJ64" s="91"/>
      <c r="AK64" s="91"/>
      <c r="AL64" s="91"/>
      <c r="AM64" s="218"/>
    </row>
    <row r="65" spans="2:39" ht="15.65" customHeight="1" x14ac:dyDescent="0.25">
      <c r="B65" s="124"/>
      <c r="C65" s="145" t="s">
        <v>261</v>
      </c>
      <c r="D65" s="144"/>
      <c r="E65" s="129"/>
      <c r="F65" s="144"/>
      <c r="G65" s="144"/>
      <c r="H65" s="1881" t="s">
        <v>795</v>
      </c>
      <c r="I65" s="144"/>
      <c r="J65" s="144"/>
      <c r="K65" s="144"/>
      <c r="L65" s="144"/>
      <c r="M65" s="144"/>
      <c r="N65" s="144"/>
      <c r="O65" s="144"/>
      <c r="P65" s="144"/>
      <c r="Q65" s="127"/>
      <c r="Y65" s="217"/>
      <c r="Z65" s="91"/>
      <c r="AA65" s="91"/>
      <c r="AB65" s="91"/>
      <c r="AC65" s="91"/>
      <c r="AD65" s="91"/>
      <c r="AE65" s="91"/>
      <c r="AF65" s="91"/>
      <c r="AG65" s="218"/>
      <c r="AH65" s="217"/>
      <c r="AI65" s="91"/>
      <c r="AJ65" s="91"/>
      <c r="AK65" s="91"/>
      <c r="AL65" s="91"/>
      <c r="AM65" s="218"/>
    </row>
    <row r="66" spans="2:39" ht="15.65" customHeight="1" x14ac:dyDescent="0.25">
      <c r="B66" s="171"/>
      <c r="C66" s="153"/>
      <c r="D66" s="153"/>
      <c r="E66" s="242" t="s">
        <v>198</v>
      </c>
      <c r="F66" s="130" t="s">
        <v>253</v>
      </c>
      <c r="G66" s="130" t="s">
        <v>184</v>
      </c>
      <c r="H66" s="1882"/>
      <c r="I66" s="131" t="s">
        <v>262</v>
      </c>
      <c r="J66" s="131" t="s">
        <v>263</v>
      </c>
      <c r="K66" s="153"/>
      <c r="L66" s="153"/>
      <c r="M66" s="153"/>
      <c r="N66" s="153"/>
      <c r="O66" s="130" t="s">
        <v>82</v>
      </c>
      <c r="P66" s="153"/>
      <c r="Q66" s="174"/>
      <c r="Y66" s="283" t="s">
        <v>122</v>
      </c>
      <c r="Z66" s="283" t="s">
        <v>264</v>
      </c>
      <c r="AA66" s="283" t="s">
        <v>265</v>
      </c>
      <c r="AB66" s="282" t="s">
        <v>266</v>
      </c>
      <c r="AC66" s="283" t="s">
        <v>123</v>
      </c>
      <c r="AD66" s="282" t="s">
        <v>77</v>
      </c>
      <c r="AE66" s="283" t="s">
        <v>267</v>
      </c>
      <c r="AF66" s="291" t="s">
        <v>268</v>
      </c>
      <c r="AH66" s="217"/>
      <c r="AI66" s="91"/>
      <c r="AJ66" s="91"/>
      <c r="AK66" s="91"/>
      <c r="AL66" s="91"/>
      <c r="AM66" s="218"/>
    </row>
    <row r="67" spans="2:39" ht="15.65" customHeight="1" x14ac:dyDescent="0.25">
      <c r="B67" s="46"/>
      <c r="C67" s="47"/>
      <c r="D67" s="47"/>
      <c r="E67" s="75"/>
      <c r="F67" s="47"/>
      <c r="G67" s="47"/>
      <c r="H67" s="47"/>
      <c r="I67" s="48"/>
      <c r="J67" s="48"/>
      <c r="K67" s="47"/>
      <c r="L67" s="47"/>
      <c r="M67" s="47"/>
      <c r="N67" s="896"/>
      <c r="O67" s="895" t="s">
        <v>269</v>
      </c>
      <c r="P67" s="898"/>
      <c r="Q67" s="49"/>
      <c r="Y67" s="283" t="s">
        <v>128</v>
      </c>
      <c r="Z67" s="283" t="s">
        <v>270</v>
      </c>
      <c r="AA67" s="283" t="s">
        <v>270</v>
      </c>
      <c r="AB67" s="282" t="s">
        <v>271</v>
      </c>
      <c r="AC67" s="282" t="s">
        <v>272</v>
      </c>
      <c r="AD67" s="282" t="s">
        <v>273</v>
      </c>
      <c r="AE67" s="283" t="s">
        <v>270</v>
      </c>
      <c r="AF67" s="291" t="s">
        <v>270</v>
      </c>
      <c r="AH67" s="217"/>
      <c r="AI67" s="91"/>
      <c r="AJ67" s="91"/>
      <c r="AK67" s="91"/>
      <c r="AL67" s="91"/>
      <c r="AM67" s="218"/>
    </row>
    <row r="68" spans="2:39" ht="15.65" customHeight="1" x14ac:dyDescent="0.25">
      <c r="B68" s="46"/>
      <c r="C68" s="63" t="s">
        <v>274</v>
      </c>
      <c r="D68" s="237"/>
      <c r="E68" s="751"/>
      <c r="F68" s="800"/>
      <c r="G68" s="800"/>
      <c r="H68" s="954"/>
      <c r="I68" s="955"/>
      <c r="J68" s="956"/>
      <c r="K68" s="47"/>
      <c r="L68" s="47"/>
      <c r="M68" s="47"/>
      <c r="N68" s="106"/>
      <c r="O68" s="107">
        <f>IF(AND(F68="",G68="",H68="",I68="",J68=""),0,IFERROR(AD68*Y68,'Hidden Lists and Summaries'!$C$158))</f>
        <v>0</v>
      </c>
      <c r="P68" s="108" t="s">
        <v>90</v>
      </c>
      <c r="Q68" s="49"/>
      <c r="Y68" s="274" t="e">
        <f>F68*VLOOKUP(G68,massConv[#All],3,FALSE)</f>
        <v>#N/A</v>
      </c>
      <c r="Z68" s="104" t="e">
        <f>VLOOKUP(I68,BoilerFuelReferenceTable[#All],2,FALSE)</f>
        <v>#N/A</v>
      </c>
      <c r="AA68" s="104" t="e">
        <f>IF(I68='Key Values'!$B$209,AE68,AF68)</f>
        <v>#N/A</v>
      </c>
      <c r="AB68" s="43" t="e">
        <f>Z68+AA68</f>
        <v>#N/A</v>
      </c>
      <c r="AC68" s="104" t="e">
        <f>VLOOKUP(J68,SteamProperties[#All],6,FALSE)</f>
        <v>#N/A</v>
      </c>
      <c r="AD68" s="837" t="e">
        <f>IF(H68="",AB68*AC68,H68)</f>
        <v>#N/A</v>
      </c>
      <c r="AE68" s="104">
        <f>IFERROR(VLOOKUP(iq_location,GaseousFuelEmbodiedEmissions[#All],IF(iq_metro,2,3),FALSE),0)</f>
        <v>0</v>
      </c>
      <c r="AF68" s="278" t="e">
        <f>VLOOKUP(I68,BoilerFuelReferenceTable[#All],3,FALSE)</f>
        <v>#N/A</v>
      </c>
      <c r="AH68" s="217"/>
      <c r="AI68" s="91"/>
      <c r="AJ68" s="91"/>
      <c r="AK68" s="91"/>
      <c r="AL68" s="91"/>
      <c r="AM68" s="218"/>
    </row>
    <row r="69" spans="2:39" ht="15.65" customHeight="1" x14ac:dyDescent="0.25">
      <c r="B69" s="46"/>
      <c r="C69" s="63" t="s">
        <v>275</v>
      </c>
      <c r="D69" s="237"/>
      <c r="E69" s="752"/>
      <c r="F69" s="801"/>
      <c r="G69" s="802"/>
      <c r="H69" s="957"/>
      <c r="I69" s="958"/>
      <c r="J69" s="959"/>
      <c r="K69" s="47"/>
      <c r="L69" s="47"/>
      <c r="M69" s="47"/>
      <c r="N69" s="106"/>
      <c r="O69" s="107">
        <f>IF(AND(F69="",G69="",H69="",I69="",J69=""),0,IFERROR(AD69*Y69,'Hidden Lists and Summaries'!$C$158))</f>
        <v>0</v>
      </c>
      <c r="P69" s="108" t="s">
        <v>90</v>
      </c>
      <c r="Q69" s="49"/>
      <c r="Y69" s="217" t="e">
        <f>F69*VLOOKUP(G69,massConv[#All],3,FALSE)</f>
        <v>#N/A</v>
      </c>
      <c r="Z69" s="91" t="e">
        <f>VLOOKUP(I69,BoilerFuelReferenceTable[#All],2,FALSE)</f>
        <v>#N/A</v>
      </c>
      <c r="AA69" s="91" t="e">
        <f>IF(I69='Key Values'!$B$209,AE69,AF69)</f>
        <v>#N/A</v>
      </c>
      <c r="AB69" s="43" t="e">
        <f>Z69+AA69</f>
        <v>#N/A</v>
      </c>
      <c r="AC69" s="91" t="e">
        <f>VLOOKUP(J69,SteamProperties[#All],6,FALSE)</f>
        <v>#N/A</v>
      </c>
      <c r="AD69" s="836" t="e">
        <f t="shared" ref="AD69:AD70" si="0">IF(H69="",AB69*AC69,H69)</f>
        <v>#N/A</v>
      </c>
      <c r="AE69" s="91">
        <f>IFERROR(VLOOKUP(iq_location,GaseousFuelEmbodiedEmissions[#All],IF(iq_metro,2,3),FALSE),0)</f>
        <v>0</v>
      </c>
      <c r="AF69" s="218" t="e">
        <f>VLOOKUP(I69,BoilerFuelReferenceTable[#All],3,FALSE)</f>
        <v>#N/A</v>
      </c>
      <c r="AH69" s="217"/>
      <c r="AI69" s="91"/>
      <c r="AJ69" s="91"/>
      <c r="AK69" s="91"/>
      <c r="AL69" s="91"/>
      <c r="AM69" s="218"/>
    </row>
    <row r="70" spans="2:39" ht="15.65" customHeight="1" x14ac:dyDescent="0.25">
      <c r="B70" s="46"/>
      <c r="C70" s="63" t="s">
        <v>276</v>
      </c>
      <c r="D70" s="237"/>
      <c r="E70" s="780"/>
      <c r="F70" s="803"/>
      <c r="G70" s="804"/>
      <c r="H70" s="960"/>
      <c r="I70" s="961"/>
      <c r="J70" s="962"/>
      <c r="K70" s="47"/>
      <c r="L70" s="47"/>
      <c r="M70" s="47"/>
      <c r="N70" s="106"/>
      <c r="O70" s="107">
        <f>IF(AND(F70="",G70="",H70="",I70="",J70=""),0,IFERROR(AD70*Y70,'Hidden Lists and Summaries'!$C$158))</f>
        <v>0</v>
      </c>
      <c r="P70" s="108" t="s">
        <v>90</v>
      </c>
      <c r="Q70" s="49"/>
      <c r="Y70" s="224" t="e">
        <f>F70*VLOOKUP(G70,massConv[#All],3,FALSE)</f>
        <v>#N/A</v>
      </c>
      <c r="Z70" s="185" t="e">
        <f>VLOOKUP(I70,BoilerFuelReferenceTable[#All],2,FALSE)</f>
        <v>#N/A</v>
      </c>
      <c r="AA70" s="185" t="e">
        <f>IF(I70='Key Values'!$B$209,AE70,AF70)</f>
        <v>#N/A</v>
      </c>
      <c r="AB70" s="185" t="e">
        <f>Z70+AA70</f>
        <v>#N/A</v>
      </c>
      <c r="AC70" s="185" t="e">
        <f>VLOOKUP(J70,SteamProperties[#All],6,FALSE)</f>
        <v>#N/A</v>
      </c>
      <c r="AD70" s="838" t="e">
        <f t="shared" si="0"/>
        <v>#N/A</v>
      </c>
      <c r="AE70" s="185">
        <f>IFERROR(VLOOKUP(iq_location,GaseousFuelEmbodiedEmissions[#All],IF(iq_metro,2,3),FALSE),0)</f>
        <v>0</v>
      </c>
      <c r="AF70" s="225" t="e">
        <f>VLOOKUP(I70,BoilerFuelReferenceTable[#All],3,FALSE)</f>
        <v>#N/A</v>
      </c>
      <c r="AH70" s="217"/>
      <c r="AI70" s="91"/>
      <c r="AJ70" s="91"/>
      <c r="AK70" s="91"/>
      <c r="AL70" s="91"/>
      <c r="AM70" s="218"/>
    </row>
    <row r="71" spans="2:39" ht="15.65" customHeight="1" x14ac:dyDescent="0.25">
      <c r="B71" s="53"/>
      <c r="C71" s="54"/>
      <c r="D71" s="54"/>
      <c r="E71" s="102"/>
      <c r="F71" s="54"/>
      <c r="G71" s="54"/>
      <c r="H71" s="65"/>
      <c r="I71" s="65"/>
      <c r="J71" s="54"/>
      <c r="K71" s="54"/>
      <c r="L71" s="54"/>
      <c r="M71" s="54"/>
      <c r="N71" s="109" t="s">
        <v>120</v>
      </c>
      <c r="O71" s="72">
        <f>SUM(O68:O70)</f>
        <v>0</v>
      </c>
      <c r="P71" s="110" t="s">
        <v>90</v>
      </c>
      <c r="Q71" s="55"/>
      <c r="Y71" s="217"/>
      <c r="Z71" s="91"/>
      <c r="AA71" s="91"/>
      <c r="AB71" s="91"/>
      <c r="AC71" s="91"/>
      <c r="AD71" s="91"/>
      <c r="AE71" s="104"/>
      <c r="AF71" s="104"/>
      <c r="AH71" s="217"/>
      <c r="AI71" s="91">
        <f>O71</f>
        <v>0</v>
      </c>
      <c r="AJ71" s="91"/>
      <c r="AK71" s="91" t="str">
        <f>'Hidden Lists and Summaries'!$B$6</f>
        <v>Steam Supply</v>
      </c>
      <c r="AL71" s="91"/>
      <c r="AM71" s="218"/>
    </row>
    <row r="72" spans="2:39" ht="15.65" customHeight="1" x14ac:dyDescent="0.25">
      <c r="B72" s="71"/>
      <c r="C72" s="71"/>
      <c r="D72" s="71"/>
      <c r="E72" s="71"/>
      <c r="F72" s="71"/>
      <c r="G72" s="71"/>
      <c r="H72" s="71"/>
      <c r="I72" s="71"/>
      <c r="J72" s="71"/>
      <c r="K72" s="71"/>
      <c r="L72" s="71"/>
      <c r="M72" s="71"/>
      <c r="N72" s="71"/>
      <c r="O72" s="71"/>
      <c r="P72" s="71"/>
      <c r="Q72" s="71"/>
      <c r="S72" s="101"/>
      <c r="Y72" s="217"/>
      <c r="Z72" s="91"/>
      <c r="AA72" s="91"/>
      <c r="AB72" s="91"/>
      <c r="AC72" s="91"/>
      <c r="AD72" s="91"/>
      <c r="AE72" s="91"/>
      <c r="AF72" s="91"/>
      <c r="AG72" s="218"/>
      <c r="AH72" s="217"/>
      <c r="AI72" s="91"/>
      <c r="AJ72" s="91"/>
      <c r="AK72" s="91"/>
      <c r="AL72" s="91"/>
      <c r="AM72" s="218"/>
    </row>
    <row r="73" spans="2:39" ht="15.65" customHeight="1" x14ac:dyDescent="0.25">
      <c r="B73" s="133"/>
      <c r="C73" s="134"/>
      <c r="D73" s="134"/>
      <c r="E73" s="134"/>
      <c r="F73" s="134"/>
      <c r="G73" s="134"/>
      <c r="H73" s="134"/>
      <c r="I73" s="134"/>
      <c r="J73" s="134"/>
      <c r="K73" s="134"/>
      <c r="L73" s="134"/>
      <c r="M73" s="134"/>
      <c r="N73" s="134"/>
      <c r="O73" s="134"/>
      <c r="P73" s="134"/>
      <c r="Q73" s="135"/>
      <c r="S73" s="101"/>
      <c r="Y73" s="217"/>
      <c r="Z73" s="91"/>
      <c r="AA73" s="91"/>
      <c r="AB73" s="91"/>
      <c r="AC73" s="91"/>
      <c r="AD73" s="91"/>
      <c r="AE73" s="91"/>
      <c r="AF73" s="91"/>
      <c r="AG73" s="218"/>
      <c r="AH73" s="217"/>
      <c r="AI73" s="91"/>
      <c r="AJ73" s="91"/>
      <c r="AK73" s="91"/>
      <c r="AL73" s="91"/>
      <c r="AM73" s="218"/>
    </row>
    <row r="74" spans="2:39" ht="15.65" customHeight="1" x14ac:dyDescent="0.25">
      <c r="B74" s="136"/>
      <c r="C74" s="137" t="s">
        <v>277</v>
      </c>
      <c r="D74" s="138"/>
      <c r="E74" s="138"/>
      <c r="F74" s="138"/>
      <c r="G74" s="138"/>
      <c r="H74" s="1879" t="s">
        <v>796</v>
      </c>
      <c r="I74" s="138"/>
      <c r="J74" s="138"/>
      <c r="K74" s="138"/>
      <c r="L74" s="138"/>
      <c r="M74" s="138"/>
      <c r="N74" s="138"/>
      <c r="O74" s="138"/>
      <c r="P74" s="138"/>
      <c r="Q74" s="140"/>
      <c r="S74" s="101"/>
      <c r="Y74" s="217"/>
      <c r="Z74" s="91"/>
      <c r="AA74" s="91"/>
      <c r="AB74" s="91"/>
      <c r="AC74" s="91"/>
      <c r="AD74" s="91"/>
      <c r="AE74" s="91"/>
      <c r="AF74" s="91"/>
      <c r="AG74" s="218"/>
      <c r="AH74" s="217"/>
      <c r="AI74" s="91"/>
      <c r="AJ74" s="91"/>
      <c r="AK74" s="91"/>
      <c r="AL74" s="91"/>
      <c r="AM74" s="218"/>
    </row>
    <row r="75" spans="2:39" ht="15.65" customHeight="1" x14ac:dyDescent="0.25">
      <c r="B75" s="176"/>
      <c r="C75" s="177"/>
      <c r="D75" s="177"/>
      <c r="E75" s="131" t="s">
        <v>278</v>
      </c>
      <c r="F75" s="131" t="s">
        <v>279</v>
      </c>
      <c r="G75" s="130" t="s">
        <v>184</v>
      </c>
      <c r="H75" s="1880"/>
      <c r="I75" s="177"/>
      <c r="J75" s="177"/>
      <c r="K75" s="177"/>
      <c r="L75" s="177"/>
      <c r="M75" s="177"/>
      <c r="N75" s="177"/>
      <c r="O75" s="130" t="s">
        <v>82</v>
      </c>
      <c r="P75" s="177"/>
      <c r="Q75" s="178"/>
      <c r="S75" s="101"/>
      <c r="Y75" s="343" t="s">
        <v>77</v>
      </c>
      <c r="Z75" s="315" t="s">
        <v>94</v>
      </c>
      <c r="AA75" s="91"/>
      <c r="AB75" s="91"/>
      <c r="AC75" s="91"/>
      <c r="AD75" s="91"/>
      <c r="AE75" s="91"/>
      <c r="AF75" s="91"/>
      <c r="AG75" s="218"/>
      <c r="AH75" s="217"/>
      <c r="AI75" s="91"/>
      <c r="AJ75" s="91"/>
      <c r="AK75" s="91"/>
      <c r="AL75" s="91"/>
      <c r="AM75" s="218"/>
    </row>
    <row r="76" spans="2:39" ht="15.65" customHeight="1" x14ac:dyDescent="0.25">
      <c r="B76" s="77"/>
      <c r="C76" s="78"/>
      <c r="D76" s="78"/>
      <c r="E76" s="78"/>
      <c r="F76" s="78"/>
      <c r="G76" s="78"/>
      <c r="H76" s="78"/>
      <c r="I76" s="78"/>
      <c r="J76" s="78"/>
      <c r="K76" s="78"/>
      <c r="L76" s="78"/>
      <c r="M76" s="78"/>
      <c r="N76" s="78"/>
      <c r="O76" s="78"/>
      <c r="P76" s="78"/>
      <c r="Q76" s="80"/>
      <c r="S76" s="101"/>
      <c r="Y76" s="282" t="s">
        <v>280</v>
      </c>
      <c r="Z76" s="291" t="s">
        <v>281</v>
      </c>
      <c r="AA76" s="91"/>
      <c r="AB76" s="91"/>
      <c r="AC76" s="91"/>
      <c r="AD76" s="91"/>
      <c r="AE76" s="91"/>
      <c r="AF76" s="91"/>
      <c r="AG76" s="218"/>
      <c r="AH76" s="217"/>
      <c r="AI76" s="91"/>
      <c r="AJ76" s="91"/>
      <c r="AK76" s="91"/>
      <c r="AL76" s="91"/>
      <c r="AM76" s="218"/>
    </row>
    <row r="77" spans="2:39" ht="15.65" customHeight="1" x14ac:dyDescent="0.25">
      <c r="B77" s="57"/>
      <c r="C77" s="58" t="s">
        <v>282</v>
      </c>
      <c r="D77" s="58"/>
      <c r="E77" s="361"/>
      <c r="F77" s="362"/>
      <c r="G77" s="363"/>
      <c r="H77" s="364"/>
      <c r="I77" s="58"/>
      <c r="J77" s="58"/>
      <c r="K77" s="58"/>
      <c r="L77" s="58"/>
      <c r="M77" s="58"/>
      <c r="N77" s="1040" t="str">
        <f>IF(F77="","",F77)</f>
        <v/>
      </c>
      <c r="O77" s="111">
        <f>IF(AND(F77="",G77="",H77=""),0,IFERROR(Y77*Z77,'Hidden Lists and Summaries'!$C$158))</f>
        <v>0</v>
      </c>
      <c r="P77" s="105" t="s">
        <v>90</v>
      </c>
      <c r="Q77" s="59"/>
      <c r="S77" s="101"/>
      <c r="Y77" s="217">
        <f>H77</f>
        <v>0</v>
      </c>
      <c r="Z77" s="218">
        <f>F77</f>
        <v>0</v>
      </c>
      <c r="AA77" s="91"/>
      <c r="AB77" s="91"/>
      <c r="AC77" s="91"/>
      <c r="AD77" s="91"/>
      <c r="AE77" s="91"/>
      <c r="AF77" s="91"/>
      <c r="AG77" s="218"/>
      <c r="AH77" s="217"/>
      <c r="AI77" s="91"/>
      <c r="AJ77" s="91"/>
      <c r="AK77" s="91"/>
      <c r="AL77" s="91"/>
      <c r="AM77" s="218"/>
    </row>
    <row r="78" spans="2:39" ht="15.65" customHeight="1" x14ac:dyDescent="0.25">
      <c r="B78" s="57"/>
      <c r="C78" s="58" t="s">
        <v>283</v>
      </c>
      <c r="D78" s="58"/>
      <c r="E78" s="365"/>
      <c r="F78" s="366"/>
      <c r="G78" s="366"/>
      <c r="H78" s="367"/>
      <c r="I78" s="58"/>
      <c r="J78" s="58"/>
      <c r="K78" s="58"/>
      <c r="L78" s="58"/>
      <c r="M78" s="58"/>
      <c r="N78" s="1038" t="str">
        <f t="shared" ref="N78:N80" si="1">IF(F78="","",F78)</f>
        <v/>
      </c>
      <c r="O78" s="107">
        <f>IF(AND(F78="",G78="",H78=""),0,IFERROR(Y78*Z78,'Hidden Lists and Summaries'!$C$158))</f>
        <v>0</v>
      </c>
      <c r="P78" s="108" t="s">
        <v>90</v>
      </c>
      <c r="Q78" s="59"/>
      <c r="S78" s="101"/>
      <c r="Y78" s="217">
        <f>H78</f>
        <v>0</v>
      </c>
      <c r="Z78" s="218">
        <f>F78</f>
        <v>0</v>
      </c>
      <c r="AA78" s="91"/>
      <c r="AB78" s="91"/>
      <c r="AC78" s="91"/>
      <c r="AD78" s="91"/>
      <c r="AE78" s="91"/>
      <c r="AF78" s="91"/>
      <c r="AG78" s="218"/>
      <c r="AH78" s="217"/>
      <c r="AI78" s="91"/>
      <c r="AJ78" s="91"/>
      <c r="AK78" s="91"/>
      <c r="AL78" s="91"/>
      <c r="AM78" s="218"/>
    </row>
    <row r="79" spans="2:39" ht="15.65" customHeight="1" x14ac:dyDescent="0.25">
      <c r="B79" s="57"/>
      <c r="C79" s="58" t="s">
        <v>284</v>
      </c>
      <c r="D79" s="58"/>
      <c r="E79" s="368"/>
      <c r="F79" s="366"/>
      <c r="G79" s="366"/>
      <c r="H79" s="369"/>
      <c r="I79" s="58"/>
      <c r="J79" s="58"/>
      <c r="K79" s="58"/>
      <c r="L79" s="58"/>
      <c r="M79" s="58"/>
      <c r="N79" s="1039" t="str">
        <f t="shared" si="1"/>
        <v/>
      </c>
      <c r="O79" s="107">
        <f>IF(AND(F79="",G79="",H79=""),0,IFERROR(Y79*Z79,'Hidden Lists and Summaries'!$C$158))</f>
        <v>0</v>
      </c>
      <c r="P79" s="108" t="s">
        <v>90</v>
      </c>
      <c r="Q79" s="59"/>
      <c r="S79" s="101"/>
      <c r="Y79" s="217">
        <f>H79</f>
        <v>0</v>
      </c>
      <c r="Z79" s="218">
        <f>F79</f>
        <v>0</v>
      </c>
      <c r="AA79" s="91"/>
      <c r="AB79" s="91"/>
      <c r="AC79" s="91"/>
      <c r="AD79" s="91"/>
      <c r="AE79" s="91"/>
      <c r="AF79" s="91"/>
      <c r="AG79" s="218"/>
      <c r="AH79" s="217"/>
      <c r="AI79" s="91"/>
      <c r="AJ79" s="91"/>
      <c r="AK79" s="91"/>
      <c r="AL79" s="91"/>
      <c r="AM79" s="218"/>
    </row>
    <row r="80" spans="2:39" ht="15.65" customHeight="1" x14ac:dyDescent="0.25">
      <c r="B80" s="57"/>
      <c r="C80" s="58" t="s">
        <v>285</v>
      </c>
      <c r="D80" s="58"/>
      <c r="E80" s="370"/>
      <c r="F80" s="371"/>
      <c r="G80" s="371"/>
      <c r="H80" s="372"/>
      <c r="I80" s="58"/>
      <c r="J80" s="58"/>
      <c r="K80" s="58"/>
      <c r="L80" s="58"/>
      <c r="M80" s="58"/>
      <c r="N80" s="1038" t="str">
        <f t="shared" si="1"/>
        <v/>
      </c>
      <c r="O80" s="107">
        <f>IF(AND(F80="",G80="",H80=""),0,IFERROR(Y80*Z80,'Hidden Lists and Summaries'!$C$158))</f>
        <v>0</v>
      </c>
      <c r="P80" s="108" t="s">
        <v>90</v>
      </c>
      <c r="Q80" s="59"/>
      <c r="S80" s="101"/>
      <c r="Y80" s="224">
        <f>H80</f>
        <v>0</v>
      </c>
      <c r="Z80" s="225">
        <f>F80</f>
        <v>0</v>
      </c>
      <c r="AA80" s="91"/>
      <c r="AB80" s="91"/>
      <c r="AC80" s="68"/>
      <c r="AD80" s="91"/>
      <c r="AE80" s="91"/>
      <c r="AF80" s="91"/>
      <c r="AG80" s="218"/>
      <c r="AH80" s="217"/>
      <c r="AI80" s="91"/>
      <c r="AJ80" s="91"/>
      <c r="AK80" s="91"/>
      <c r="AL80" s="91"/>
      <c r="AM80" s="218"/>
    </row>
    <row r="81" spans="2:39" ht="15.65" customHeight="1" x14ac:dyDescent="0.25">
      <c r="B81" s="60"/>
      <c r="C81" s="61"/>
      <c r="D81" s="61"/>
      <c r="E81" s="61"/>
      <c r="F81" s="61"/>
      <c r="G81" s="61"/>
      <c r="H81" s="61"/>
      <c r="I81" s="61"/>
      <c r="J81" s="61"/>
      <c r="K81" s="61"/>
      <c r="L81" s="61"/>
      <c r="M81" s="61"/>
      <c r="N81" s="333" t="s">
        <v>120</v>
      </c>
      <c r="O81" s="334">
        <f>SUM(O77:O80)</f>
        <v>0</v>
      </c>
      <c r="P81" s="335" t="s">
        <v>90</v>
      </c>
      <c r="Q81" s="62"/>
      <c r="S81" s="101"/>
      <c r="Y81" s="217"/>
      <c r="Z81" s="91"/>
      <c r="AA81" s="91"/>
      <c r="AB81" s="91"/>
      <c r="AC81" s="68"/>
      <c r="AD81" s="91"/>
      <c r="AE81" s="91"/>
      <c r="AF81" s="91"/>
      <c r="AG81" s="218"/>
      <c r="AH81" s="217"/>
      <c r="AI81" s="91">
        <f>O81</f>
        <v>0</v>
      </c>
      <c r="AJ81" s="91"/>
      <c r="AK81" s="91" t="str">
        <f>'Hidden Lists and Summaries'!$B$5</f>
        <v>Embodied (Upstream)</v>
      </c>
      <c r="AL81" s="91"/>
      <c r="AM81" s="218" t="s">
        <v>286</v>
      </c>
    </row>
    <row r="82" spans="2:39" ht="15.65" customHeight="1" x14ac:dyDescent="0.25">
      <c r="B82" s="71"/>
      <c r="C82" s="71"/>
      <c r="D82" s="71"/>
      <c r="E82" s="71"/>
      <c r="F82" s="71"/>
      <c r="G82" s="71"/>
      <c r="H82" s="71"/>
      <c r="I82" s="71"/>
      <c r="J82" s="71"/>
      <c r="K82" s="71"/>
      <c r="L82" s="71"/>
      <c r="M82" s="71"/>
      <c r="N82" s="71"/>
      <c r="O82" s="71"/>
      <c r="P82" s="71"/>
      <c r="Q82" s="71"/>
      <c r="S82" s="101"/>
      <c r="Y82" s="217"/>
      <c r="Z82" s="91"/>
      <c r="AA82" s="91"/>
      <c r="AB82" s="91"/>
      <c r="AC82" s="68"/>
      <c r="AD82" s="91"/>
      <c r="AE82" s="91"/>
      <c r="AF82" s="91"/>
      <c r="AG82" s="218"/>
      <c r="AH82" s="217"/>
      <c r="AI82" s="91"/>
      <c r="AJ82" s="91"/>
      <c r="AK82" s="91"/>
      <c r="AL82" s="91"/>
      <c r="AM82" s="218"/>
    </row>
    <row r="83" spans="2:39" ht="15.65" customHeight="1" x14ac:dyDescent="0.25">
      <c r="B83" s="121"/>
      <c r="C83" s="122"/>
      <c r="D83" s="122"/>
      <c r="E83" s="122"/>
      <c r="F83" s="122"/>
      <c r="G83" s="122"/>
      <c r="H83" s="1878" t="s">
        <v>287</v>
      </c>
      <c r="I83" s="1878"/>
      <c r="J83" s="1878"/>
      <c r="K83" s="122"/>
      <c r="L83" s="122"/>
      <c r="M83" s="122"/>
      <c r="N83" s="122"/>
      <c r="O83" s="122"/>
      <c r="P83" s="122"/>
      <c r="Q83" s="123"/>
      <c r="Y83" s="217"/>
      <c r="Z83" s="91"/>
      <c r="AA83" s="91"/>
      <c r="AB83" s="91"/>
      <c r="AC83" s="68"/>
      <c r="AD83" s="91"/>
      <c r="AE83" s="91"/>
      <c r="AF83" s="91"/>
      <c r="AG83" s="218"/>
      <c r="AH83" s="217"/>
      <c r="AI83" s="91"/>
      <c r="AJ83" s="91"/>
      <c r="AK83" s="91"/>
      <c r="AL83" s="91"/>
      <c r="AM83" s="218"/>
    </row>
    <row r="84" spans="2:39" ht="15.65" customHeight="1" x14ac:dyDescent="0.25">
      <c r="B84" s="124"/>
      <c r="C84" s="145" t="s">
        <v>288</v>
      </c>
      <c r="D84" s="144"/>
      <c r="E84" s="144"/>
      <c r="F84" s="144"/>
      <c r="G84" s="144"/>
      <c r="H84" s="144"/>
      <c r="I84" s="1879" t="s">
        <v>797</v>
      </c>
      <c r="J84" s="1881" t="s">
        <v>289</v>
      </c>
      <c r="K84" s="1881" t="s">
        <v>515</v>
      </c>
      <c r="L84" s="144"/>
      <c r="M84" s="144"/>
      <c r="N84" s="144"/>
      <c r="O84" s="144"/>
      <c r="P84" s="144"/>
      <c r="Q84" s="127"/>
      <c r="Y84" s="217"/>
      <c r="Z84" s="91"/>
      <c r="AA84" s="91"/>
      <c r="AB84" s="91"/>
      <c r="AC84" s="68"/>
      <c r="AD84" s="91"/>
      <c r="AE84" s="91"/>
      <c r="AF84" s="91"/>
      <c r="AG84" s="218"/>
      <c r="AH84" s="217"/>
      <c r="AI84" s="91"/>
      <c r="AJ84" s="91"/>
      <c r="AK84" s="91"/>
      <c r="AL84" s="91"/>
      <c r="AM84" s="218"/>
    </row>
    <row r="85" spans="2:39" ht="15.65" customHeight="1" x14ac:dyDescent="0.25">
      <c r="B85" s="171"/>
      <c r="C85" s="153"/>
      <c r="D85" s="153"/>
      <c r="E85" s="130" t="s">
        <v>112</v>
      </c>
      <c r="F85" s="130" t="s">
        <v>117</v>
      </c>
      <c r="G85" s="130" t="s">
        <v>119</v>
      </c>
      <c r="H85" s="131" t="s">
        <v>184</v>
      </c>
      <c r="I85" s="1880"/>
      <c r="J85" s="1882"/>
      <c r="K85" s="1882"/>
      <c r="L85" s="172"/>
      <c r="M85" s="172"/>
      <c r="N85" s="172"/>
      <c r="O85" s="130" t="s">
        <v>82</v>
      </c>
      <c r="P85" s="172"/>
      <c r="Q85" s="173"/>
      <c r="Y85" s="288" t="s">
        <v>106</v>
      </c>
      <c r="Z85" s="289" t="s">
        <v>107</v>
      </c>
      <c r="AA85" s="290" t="s">
        <v>108</v>
      </c>
      <c r="AB85" s="283" t="s">
        <v>109</v>
      </c>
      <c r="AC85" s="95"/>
      <c r="AD85" s="91"/>
      <c r="AE85" s="91"/>
      <c r="AF85" s="91"/>
      <c r="AG85" s="218"/>
      <c r="AH85" s="217"/>
      <c r="AI85" s="91"/>
      <c r="AJ85" s="91"/>
      <c r="AK85" s="91"/>
      <c r="AL85" s="91"/>
      <c r="AM85" s="218"/>
    </row>
    <row r="86" spans="2:39" ht="15.65" customHeight="1" x14ac:dyDescent="0.25">
      <c r="B86" s="46"/>
      <c r="C86" s="47"/>
      <c r="D86" s="47"/>
      <c r="E86" s="47"/>
      <c r="F86" s="47"/>
      <c r="G86" s="47"/>
      <c r="H86" s="48"/>
      <c r="I86" s="100"/>
      <c r="J86" s="166"/>
      <c r="K86" s="47"/>
      <c r="L86" s="49"/>
      <c r="M86" s="103"/>
      <c r="N86" s="155" t="s">
        <v>257</v>
      </c>
      <c r="O86" s="155" t="s">
        <v>259</v>
      </c>
      <c r="P86" s="149"/>
      <c r="Q86" s="49"/>
      <c r="Y86" s="286" t="s">
        <v>113</v>
      </c>
      <c r="Z86" s="290" t="s">
        <v>114</v>
      </c>
      <c r="AA86" s="286" t="s">
        <v>113</v>
      </c>
      <c r="AB86" s="283" t="s">
        <v>115</v>
      </c>
      <c r="AC86" s="68"/>
      <c r="AD86" s="91"/>
      <c r="AE86" s="91"/>
      <c r="AF86" s="91"/>
      <c r="AG86" s="218"/>
      <c r="AH86" s="217"/>
      <c r="AI86" s="91"/>
      <c r="AJ86" s="91"/>
      <c r="AK86" s="91"/>
      <c r="AL86" s="91"/>
      <c r="AM86" s="218"/>
    </row>
    <row r="87" spans="2:39" ht="15.65" customHeight="1" x14ac:dyDescent="0.25">
      <c r="B87" s="46"/>
      <c r="C87" s="63" t="s">
        <v>291</v>
      </c>
      <c r="D87" s="47"/>
      <c r="E87" s="967"/>
      <c r="F87" s="968"/>
      <c r="G87" s="374"/>
      <c r="H87" s="427"/>
      <c r="I87" s="975"/>
      <c r="J87" s="976"/>
      <c r="K87" s="977"/>
      <c r="L87" s="49"/>
      <c r="M87" s="107"/>
      <c r="N87" s="107">
        <f>IF(AND(E87="",F87="",G87="",H87="",I87="",J87="",K87=""),0,IFERROR(Z87*AA87*AB87,'Hidden Lists and Summaries'!$C$158))</f>
        <v>0</v>
      </c>
      <c r="O87" s="107">
        <f>IF(AND(E87="",F87="",G87="",H87="",I87="",J87="",K87=""),0,IFERROR(Y87*Z87*AB87,'Hidden Lists and Summaries'!$C$158))</f>
        <v>0</v>
      </c>
      <c r="P87" s="108" t="s">
        <v>90</v>
      </c>
      <c r="Q87" s="49"/>
      <c r="Y87" s="302" t="str">
        <f>IF(I87&lt;&gt;"",I87,
IF(E87="Solid Fuel",VLOOKUP(F87,'Key Values'!$B$40:$G$58,6,FALSE),
IF(E87="Gaseous Fuel", VLOOKUP(F87,'Key Values'!$B$71:$G$88,6,FALSE),
IF(E87="Liquid Fuel", VLOOKUP(F87,'Key Values'!$B$100:$H$120,7,FALSE),
'Hidden Lists and Summaries'!$C$157))))</f>
        <v>No default, please enter a bespoke value</v>
      </c>
      <c r="Z87" s="104" t="e">
        <f>IF(J87&lt;&gt;"",J87,IF(E87="Solid Fuel",VLOOKUP(F87,'Key Values'!$B$40:$G$58,2,FALSE),
IF(E87="Gaseous Fuel",VLOOKUP(F87,'Key Values'!$B$71:$G$88,2,FALSE),
VLOOKUP(F87,'Key Values'!$B$100:$H$120,2,FALSE))))</f>
        <v>#N/A</v>
      </c>
      <c r="AA87" s="303" t="e" cm="1">
        <f t="array" ref="AA87">_xlfn.IFS(K87&lt;&gt;"",K87,E87="Solid Fuel", VLOOKUP(F87,'Key Values'!$B$61:$C$68,2,FALSE),
E87="Liquid fuel",VLOOKUP(F87,'Key Values'!$B$123:$C$143,2,FALSE),
E87="Gaseous Fuel", IF(VLOOKUP(F87,GasFuel[#All],7,FALSE)=TRUE,IF(F87='Key Values'!$B$77,'Hidden Lists and Summaries'!$C$157,VLOOKUP(iq_location,GaseousFuelEmbodiedEmissions[#All],IF(iq_metro="Yes",2,3),FALSE)),'Hidden Lists and Summaries'!$C$157))</f>
        <v>#N/A</v>
      </c>
      <c r="AB87" s="304" t="e" cm="1">
        <f t="array" ref="AB87">_xlfn.IFS('Key Values'!$B$35=E87, VLOOKUP(H87,massConv[#All], 2, FALSE),
'Key Values'!$B$36=E87, IF(VLOOKUP(F87,'Key Values'!$B$101:$H$121,3,FALSE)="GJ/t", VLOOKUP(H87,massConv[#All], 2, FALSE), VLOOKUP(H87,volConv[#All], 2, FALSE)),
'Key Values'!$B$37=E87, VLOOKUP(H87,volConv[#All], 2, FALSE)) * G87</f>
        <v>#N/A</v>
      </c>
      <c r="AC87" s="101"/>
      <c r="AD87" s="91"/>
      <c r="AE87" s="91"/>
      <c r="AF87" s="91"/>
      <c r="AG87" s="218"/>
      <c r="AH87" s="217"/>
      <c r="AI87" s="91"/>
      <c r="AJ87" s="91"/>
      <c r="AK87" s="91"/>
      <c r="AL87" s="91"/>
      <c r="AM87" s="218"/>
    </row>
    <row r="88" spans="2:39" ht="15.65" customHeight="1" x14ac:dyDescent="0.25">
      <c r="B88" s="46"/>
      <c r="C88" s="63" t="s">
        <v>292</v>
      </c>
      <c r="D88" s="47"/>
      <c r="E88" s="969"/>
      <c r="F88" s="970"/>
      <c r="G88" s="379"/>
      <c r="H88" s="380"/>
      <c r="I88" s="978"/>
      <c r="J88" s="979"/>
      <c r="K88" s="980"/>
      <c r="L88" s="49"/>
      <c r="M88" s="107"/>
      <c r="N88" s="107">
        <f>IF(AND(E88="",F88="",G88="",H88="",I88="",J88="",K88=""),0,IFERROR(Z88*AA88*AB88,'Hidden Lists and Summaries'!$C$158))</f>
        <v>0</v>
      </c>
      <c r="O88" s="107">
        <f>IF(AND(E88="",F88="",G88="",H88="",I88="",J88="",K88=""),0,IFERROR(Y88*Z88*AB88,'Hidden Lists and Summaries'!$C$158))</f>
        <v>0</v>
      </c>
      <c r="P88" s="108" t="s">
        <v>90</v>
      </c>
      <c r="Q88" s="49"/>
      <c r="Y88" s="293" t="str">
        <f>IF(I88&lt;&gt;"",I88,
IF(E88="Solid Fuel",VLOOKUP(F88,'Key Values'!$B$40:$G$58,6,FALSE),
IF(E88="Gaseous Fuel", VLOOKUP(F88,'Key Values'!$B$71:$G$88,6,FALSE),
IF(E88="Liquid Fuel", VLOOKUP(F88,'Key Values'!$B$100:$H$120,7,FALSE),
'Hidden Lists and Summaries'!$C$157))))</f>
        <v>No default, please enter a bespoke value</v>
      </c>
      <c r="Z88" s="91" t="e">
        <f>IF(J88&lt;&gt;"",J88,IF(E88="Solid Fuel",VLOOKUP(F88,'Key Values'!$B$40:$G$58,2,FALSE),
IF(E88="Gaseous Fuel",VLOOKUP(F88,'Key Values'!$B$71:$G$88,2,FALSE),
VLOOKUP(F88,'Key Values'!$B$100:$H$120,2,FALSE))))</f>
        <v>#N/A</v>
      </c>
      <c r="AA88" s="94" t="e" cm="1">
        <f t="array" ref="AA88">_xlfn.IFS(K88&lt;&gt;"",K88,E88="Solid Fuel", VLOOKUP(F88,'Key Values'!$B$61:$C$68,2,FALSE),
E88="Liquid fuel",VLOOKUP(F88,'Key Values'!$B$123:$C$143,2,FALSE),
E88="Gaseous Fuel", IF(VLOOKUP(F88,GasFuel[#All],7,FALSE)=TRUE,IF(F88='Key Values'!$B$77,'Hidden Lists and Summaries'!$C$157,VLOOKUP(iq_location,GaseousFuelEmbodiedEmissions[#All],IF(iq_metro="Yes",2,3),FALSE)),'Hidden Lists and Summaries'!$C$157))</f>
        <v>#N/A</v>
      </c>
      <c r="AB88" s="305" t="e" cm="1">
        <f t="array" ref="AB88">_xlfn.IFS('Key Values'!$B$35=E88, VLOOKUP(H88,massConv[#All], 2, FALSE),
'Key Values'!$B$36=E88, IF(VLOOKUP(F88,'Key Values'!$B$101:$H$121,3,FALSE)="GJ/t", VLOOKUP(H88,massConv[#All], 2, FALSE), VLOOKUP(H88,volConv[#All], 2, FALSE)),
'Key Values'!$B$37=E88, VLOOKUP(H88,volConv[#All], 2, FALSE)) * G88</f>
        <v>#N/A</v>
      </c>
      <c r="AC88" s="91"/>
      <c r="AD88" s="91"/>
      <c r="AE88" s="91"/>
      <c r="AF88" s="91"/>
      <c r="AG88" s="218"/>
      <c r="AH88" s="217"/>
      <c r="AI88" s="91"/>
      <c r="AJ88" s="91"/>
      <c r="AK88" s="91"/>
      <c r="AL88" s="91"/>
      <c r="AM88" s="218"/>
    </row>
    <row r="89" spans="2:39" ht="15.65" customHeight="1" x14ac:dyDescent="0.25">
      <c r="B89" s="46"/>
      <c r="C89" s="63" t="s">
        <v>293</v>
      </c>
      <c r="D89" s="47"/>
      <c r="E89" s="971"/>
      <c r="F89" s="972"/>
      <c r="G89" s="386"/>
      <c r="H89" s="380"/>
      <c r="I89" s="978"/>
      <c r="J89" s="979"/>
      <c r="K89" s="981"/>
      <c r="L89" s="49"/>
      <c r="M89" s="107"/>
      <c r="N89" s="107">
        <f>IF(AND(E89="",F89="",G89="",H89="",I89="",J89="",K89=""),0,IFERROR(Z89*AA89*AB89,'Hidden Lists and Summaries'!$C$158))</f>
        <v>0</v>
      </c>
      <c r="O89" s="107">
        <f>IF(AND(E89="",F89="",G89="",H89="",I89="",J89="",K89=""),0,IFERROR(Y89*Z89*AB89,'Hidden Lists and Summaries'!$C$158))</f>
        <v>0</v>
      </c>
      <c r="P89" s="108" t="s">
        <v>90</v>
      </c>
      <c r="Q89" s="49"/>
      <c r="Y89" s="293" t="str">
        <f>IF(I89&lt;&gt;"",I89,
IF(E89="Solid Fuel",VLOOKUP(F89,'Key Values'!$B$40:$G$58,6,FALSE),
IF(E89="Gaseous Fuel", VLOOKUP(F89,'Key Values'!$B$71:$G$88,6,FALSE),
IF(E89="Liquid Fuel", VLOOKUP(F89,'Key Values'!$B$100:$H$120,7,FALSE),
'Hidden Lists and Summaries'!$C$157))))</f>
        <v>No default, please enter a bespoke value</v>
      </c>
      <c r="Z89" s="91" t="e">
        <f>IF(J89&lt;&gt;"",J89,IF(E89="Solid Fuel",VLOOKUP(F89,'Key Values'!$B$40:$G$58,2,FALSE),
IF(E89="Gaseous Fuel",VLOOKUP(F89,'Key Values'!$B$71:$G$88,2,FALSE),
VLOOKUP(F89,'Key Values'!$B$100:$H$120,2,FALSE))))</f>
        <v>#N/A</v>
      </c>
      <c r="AA89" s="94" t="e" cm="1">
        <f t="array" ref="AA89">_xlfn.IFS(K89&lt;&gt;"",K89,E89="Solid Fuel", VLOOKUP(F89,'Key Values'!$B$61:$C$68,2,FALSE),
E89="Liquid fuel",VLOOKUP(F89,'Key Values'!$B$123:$C$143,2,FALSE),
E89="Gaseous Fuel", IF(VLOOKUP(F89,GasFuel[#All],7,FALSE)=TRUE,IF(F89='Key Values'!$B$77,'Hidden Lists and Summaries'!$C$157,VLOOKUP(iq_location,GaseousFuelEmbodiedEmissions[#All],IF(iq_metro="Yes",2,3),FALSE)),'Hidden Lists and Summaries'!$C$157))</f>
        <v>#N/A</v>
      </c>
      <c r="AB89" s="305" t="e" cm="1">
        <f t="array" ref="AB89">_xlfn.IFS('Key Values'!$B$35=E89, VLOOKUP(H89,massConv[#All], 2, FALSE),
'Key Values'!$B$36=E89, IF(VLOOKUP(F89,'Key Values'!$B$101:$H$121,3,FALSE)="GJ/t", VLOOKUP(H89,massConv[#All], 2, FALSE), VLOOKUP(H89,volConv[#All], 2, FALSE)),
'Key Values'!$B$37=E89, VLOOKUP(H89,volConv[#All], 2, FALSE)) * G89</f>
        <v>#N/A</v>
      </c>
      <c r="AC89" s="91"/>
      <c r="AD89" s="91"/>
      <c r="AE89" s="91"/>
      <c r="AF89" s="91"/>
      <c r="AG89" s="218"/>
      <c r="AH89" s="217"/>
      <c r="AI89" s="91"/>
      <c r="AJ89" s="91"/>
      <c r="AK89" s="91"/>
      <c r="AL89" s="91"/>
      <c r="AM89" s="218"/>
    </row>
    <row r="90" spans="2:39" ht="15.65" customHeight="1" x14ac:dyDescent="0.25">
      <c r="B90" s="46"/>
      <c r="C90" s="63" t="s">
        <v>294</v>
      </c>
      <c r="D90" s="47"/>
      <c r="E90" s="971"/>
      <c r="F90" s="972"/>
      <c r="G90" s="387"/>
      <c r="H90" s="380"/>
      <c r="I90" s="982"/>
      <c r="J90" s="983"/>
      <c r="K90" s="981"/>
      <c r="L90" s="49"/>
      <c r="M90" s="107"/>
      <c r="N90" s="107">
        <f>IF(AND(E90="",F90="",G90="",H90="",I90="",J90="",K90=""),0,IFERROR(Z90*AA90*AB90,'Hidden Lists and Summaries'!$C$158))</f>
        <v>0</v>
      </c>
      <c r="O90" s="107">
        <f>IF(AND(E90="",F90="",G90="",H90="",I90="",J90="",K90=""),0,IFERROR(Y90*Z90*AB90,'Hidden Lists and Summaries'!$C$158))</f>
        <v>0</v>
      </c>
      <c r="P90" s="108" t="s">
        <v>90</v>
      </c>
      <c r="Q90" s="49"/>
      <c r="Y90" s="293" t="str">
        <f>IF(I90&lt;&gt;"",I90,
IF(E90="Solid Fuel",VLOOKUP(F90,'Key Values'!$B$40:$G$58,6,FALSE),
IF(E90="Gaseous Fuel", VLOOKUP(F90,'Key Values'!$B$71:$G$88,6,FALSE),
IF(E90="Liquid Fuel", VLOOKUP(F90,'Key Values'!$B$100:$H$120,7,FALSE),
'Hidden Lists and Summaries'!$C$157))))</f>
        <v>No default, please enter a bespoke value</v>
      </c>
      <c r="Z90" s="91" t="e">
        <f>IF(J90&lt;&gt;"",J90,IF(E90="Solid Fuel",VLOOKUP(F90,'Key Values'!$B$40:$G$58,2,FALSE),
IF(E90="Gaseous Fuel",VLOOKUP(F90,'Key Values'!$B$71:$G$88,2,FALSE),
VLOOKUP(F90,'Key Values'!$B$100:$H$120,2,FALSE))))</f>
        <v>#N/A</v>
      </c>
      <c r="AA90" s="94" t="e" cm="1">
        <f t="array" ref="AA90">_xlfn.IFS(K90&lt;&gt;"",K90,E90="Solid Fuel", VLOOKUP(F90,'Key Values'!$B$61:$C$68,2,FALSE),
E90="Liquid fuel",VLOOKUP(F90,'Key Values'!$B$123:$C$143,2,FALSE),
E90="Gaseous Fuel", IF(VLOOKUP(F90,GasFuel[#All],7,FALSE)=TRUE,IF(F90='Key Values'!$B$77,'Hidden Lists and Summaries'!$C$157,VLOOKUP(iq_location,GaseousFuelEmbodiedEmissions[#All],IF(iq_metro="Yes",2,3),FALSE)),'Hidden Lists and Summaries'!$C$157))</f>
        <v>#N/A</v>
      </c>
      <c r="AB90" s="305" t="e" cm="1">
        <f t="array" ref="AB90">_xlfn.IFS('Key Values'!$B$35=E90, VLOOKUP(H90,massConv[#All], 2, FALSE),
'Key Values'!$B$36=E90, IF(VLOOKUP(F90,'Key Values'!$B$101:$H$121,3,FALSE)="GJ/t", VLOOKUP(H90,massConv[#All], 2, FALSE), VLOOKUP(H90,volConv[#All], 2, FALSE)),
'Key Values'!$B$37=E90, VLOOKUP(H90,volConv[#All], 2, FALSE)) * G90</f>
        <v>#N/A</v>
      </c>
      <c r="AC90" s="91"/>
      <c r="AD90" s="91"/>
      <c r="AE90" s="91"/>
      <c r="AF90" s="91"/>
      <c r="AG90" s="218"/>
      <c r="AH90" s="217"/>
      <c r="AI90" s="91"/>
      <c r="AJ90" s="91"/>
      <c r="AK90" s="91"/>
      <c r="AL90" s="91"/>
      <c r="AM90" s="218"/>
    </row>
    <row r="91" spans="2:39" x14ac:dyDescent="0.25">
      <c r="B91" s="46"/>
      <c r="C91" s="63" t="s">
        <v>295</v>
      </c>
      <c r="D91" s="47"/>
      <c r="E91" s="973"/>
      <c r="F91" s="974"/>
      <c r="G91" s="392"/>
      <c r="H91" s="396"/>
      <c r="I91" s="984"/>
      <c r="J91" s="985"/>
      <c r="K91" s="986"/>
      <c r="L91" s="49"/>
      <c r="M91" s="107"/>
      <c r="N91" s="107">
        <f>IF(AND(E91="",F91="",G91="",H91="",I91="",J91="",K91=""),0,IFERROR(Z91*AA91*AB91,'Hidden Lists and Summaries'!$C$158))</f>
        <v>0</v>
      </c>
      <c r="O91" s="107">
        <f>IF(AND(E91="",F91="",G91="",H91="",I91="",J91="",K91=""),0,IFERROR(Y91*Z91*AB91,'Hidden Lists and Summaries'!$C$158))</f>
        <v>0</v>
      </c>
      <c r="P91" s="108" t="s">
        <v>90</v>
      </c>
      <c r="Q91" s="49"/>
      <c r="Y91" s="306" t="str">
        <f>IF(I91&lt;&gt;"",I91,
IF(E91="Solid Fuel",VLOOKUP(F91,'Key Values'!$B$40:$G$58,6,FALSE),
IF(E91="Gaseous Fuel", VLOOKUP(F91,'Key Values'!$B$71:$G$88,6,FALSE),
IF(E91="Liquid Fuel", VLOOKUP(F91,'Key Values'!$B$100:$H$120,7,FALSE),
'Hidden Lists and Summaries'!$C$157))))</f>
        <v>No default, please enter a bespoke value</v>
      </c>
      <c r="Z91" s="185" t="e">
        <f>IF(J91&lt;&gt;"",J91,IF(E91="Solid Fuel",VLOOKUP(F91,'Key Values'!$B$40:$G$58,2,FALSE),
IF(E91="Gaseous Fuel",VLOOKUP(F91,'Key Values'!$B$71:$G$88,2,FALSE),
VLOOKUP(F91,'Key Values'!$B$100:$H$120,2,FALSE))))</f>
        <v>#N/A</v>
      </c>
      <c r="AA91" s="307" t="e" cm="1">
        <f t="array" ref="AA91">_xlfn.IFS(K91&lt;&gt;"",K91,E91="Solid Fuel", VLOOKUP(F91,'Key Values'!$B$61:$C$68,2,FALSE),
E91="Liquid fuel",VLOOKUP(F91,'Key Values'!$B$123:$C$143,2,FALSE),
E91="Gaseous Fuel", IF(VLOOKUP(F91,GasFuel[#All],7,FALSE)=TRUE,IF(F91='Key Values'!$B$77,'Hidden Lists and Summaries'!$C$157,VLOOKUP(iq_location,GaseousFuelEmbodiedEmissions[#All],IF(iq_metro="Yes",2,3),FALSE)),'Hidden Lists and Summaries'!$C$157))</f>
        <v>#N/A</v>
      </c>
      <c r="AB91" s="308" t="e" cm="1">
        <f t="array" ref="AB91">_xlfn.IFS('Key Values'!$B$35=E91, VLOOKUP(H91,massConv[#All], 2, FALSE),
'Key Values'!$B$36=E91, IF(VLOOKUP(F91,'Key Values'!$B$101:$H$121,3,FALSE)="GJ/t", VLOOKUP(H91,massConv[#All], 2, FALSE), VLOOKUP(H91,volConv[#All], 2, FALSE)),
'Key Values'!$B$37=E91, VLOOKUP(H91,volConv[#All], 2, FALSE)) * G91</f>
        <v>#N/A</v>
      </c>
      <c r="AC91" s="91"/>
      <c r="AD91" s="91"/>
      <c r="AE91" s="91"/>
      <c r="AF91" s="91"/>
      <c r="AG91" s="218"/>
      <c r="AH91" s="217"/>
      <c r="AI91" s="91"/>
      <c r="AJ91" s="91"/>
      <c r="AK91" s="91"/>
      <c r="AL91" s="91"/>
      <c r="AM91" s="218"/>
    </row>
    <row r="92" spans="2:39" ht="15.65" customHeight="1" x14ac:dyDescent="0.25">
      <c r="B92" s="53"/>
      <c r="C92" s="54"/>
      <c r="D92" s="54"/>
      <c r="E92" s="54"/>
      <c r="F92" s="98"/>
      <c r="G92" s="99"/>
      <c r="H92" s="65"/>
      <c r="I92" s="65"/>
      <c r="J92" s="54"/>
      <c r="K92" s="54"/>
      <c r="L92" s="55"/>
      <c r="M92" s="167" t="s">
        <v>120</v>
      </c>
      <c r="N92" s="168">
        <f>SUM(N87:N91)</f>
        <v>0</v>
      </c>
      <c r="O92" s="72">
        <f>SUM(O87:O91)</f>
        <v>0</v>
      </c>
      <c r="P92" s="110" t="s">
        <v>90</v>
      </c>
      <c r="Q92" s="55"/>
      <c r="Y92" s="217"/>
      <c r="Z92" s="91"/>
      <c r="AA92" s="91"/>
      <c r="AB92" s="284"/>
      <c r="AC92" s="91"/>
      <c r="AD92" s="91"/>
      <c r="AE92" s="91"/>
      <c r="AF92" s="91"/>
      <c r="AG92" s="218"/>
      <c r="AH92" s="217">
        <f>N92</f>
        <v>0</v>
      </c>
      <c r="AI92" s="91">
        <f>O92</f>
        <v>0</v>
      </c>
      <c r="AJ92" s="91" t="str">
        <f>'Hidden Lists and Summaries'!B5</f>
        <v>Embodied (Upstream)</v>
      </c>
      <c r="AK92" s="91" t="str">
        <f>'Hidden Lists and Summaries'!B8</f>
        <v>Fuel Combustion</v>
      </c>
      <c r="AL92" s="91" t="s">
        <v>243</v>
      </c>
      <c r="AM92" s="218"/>
    </row>
    <row r="93" spans="2:39" ht="15.65" customHeight="1" x14ac:dyDescent="0.25">
      <c r="B93" s="71"/>
      <c r="C93" s="71"/>
      <c r="D93" s="71"/>
      <c r="E93" s="71"/>
      <c r="F93" s="71"/>
      <c r="G93" s="71"/>
      <c r="H93" s="71"/>
      <c r="I93" s="71"/>
      <c r="J93" s="71"/>
      <c r="K93" s="71"/>
      <c r="L93" s="71"/>
      <c r="M93" s="71"/>
      <c r="N93" s="71"/>
      <c r="O93" s="71"/>
      <c r="P93" s="71"/>
      <c r="Q93" s="71"/>
      <c r="Y93" s="217"/>
      <c r="Z93" s="91"/>
      <c r="AA93" s="91"/>
      <c r="AB93" s="91"/>
      <c r="AC93" s="91"/>
      <c r="AD93" s="91"/>
      <c r="AE93" s="91"/>
      <c r="AF93" s="91"/>
      <c r="AG93" s="218"/>
      <c r="AH93" s="217"/>
      <c r="AI93" s="91"/>
      <c r="AJ93" s="91"/>
      <c r="AK93" s="91"/>
      <c r="AL93" s="91"/>
      <c r="AM93" s="218"/>
    </row>
    <row r="94" spans="2:39" ht="15.65" customHeight="1" x14ac:dyDescent="0.25">
      <c r="B94" s="121"/>
      <c r="C94" s="122"/>
      <c r="D94" s="122"/>
      <c r="E94" s="122"/>
      <c r="F94" s="122"/>
      <c r="G94" s="122"/>
      <c r="H94" s="122"/>
      <c r="I94" s="122"/>
      <c r="J94" s="122"/>
      <c r="K94" s="122"/>
      <c r="L94" s="122"/>
      <c r="M94" s="122"/>
      <c r="N94" s="122"/>
      <c r="O94" s="122"/>
      <c r="P94" s="122"/>
      <c r="Q94" s="123"/>
      <c r="Y94" s="217"/>
      <c r="Z94" s="91"/>
      <c r="AA94" s="91"/>
      <c r="AB94" s="91"/>
      <c r="AC94" s="91"/>
      <c r="AD94" s="91"/>
      <c r="AE94" s="91"/>
      <c r="AF94" s="91"/>
      <c r="AG94" s="218"/>
      <c r="AH94" s="217"/>
      <c r="AI94" s="91"/>
      <c r="AJ94" s="91"/>
      <c r="AK94" s="91"/>
      <c r="AL94" s="91"/>
      <c r="AM94" s="218"/>
    </row>
    <row r="95" spans="2:39" ht="15.65" customHeight="1" x14ac:dyDescent="0.25">
      <c r="B95" s="124"/>
      <c r="C95" s="145" t="s">
        <v>296</v>
      </c>
      <c r="D95" s="144"/>
      <c r="E95" s="144"/>
      <c r="F95" s="144"/>
      <c r="G95" s="144"/>
      <c r="H95" s="144"/>
      <c r="I95" s="144"/>
      <c r="J95" s="144"/>
      <c r="K95" s="144"/>
      <c r="L95" s="144"/>
      <c r="M95" s="144"/>
      <c r="N95" s="144"/>
      <c r="O95" s="144"/>
      <c r="P95" s="144"/>
      <c r="Q95" s="127"/>
      <c r="Y95" s="217"/>
      <c r="Z95" s="91"/>
      <c r="AA95" s="91"/>
      <c r="AB95" s="91"/>
      <c r="AC95" s="91"/>
      <c r="AD95" s="91"/>
      <c r="AE95" s="91"/>
      <c r="AF95" s="91"/>
      <c r="AG95" s="218"/>
      <c r="AH95" s="217"/>
      <c r="AI95" s="91"/>
      <c r="AJ95" s="91"/>
      <c r="AK95" s="91"/>
      <c r="AL95" s="91"/>
      <c r="AM95" s="218"/>
    </row>
    <row r="96" spans="2:39" ht="15.65" customHeight="1" x14ac:dyDescent="0.25">
      <c r="B96" s="171"/>
      <c r="C96" s="153"/>
      <c r="D96" s="153"/>
      <c r="E96" s="130" t="s">
        <v>297</v>
      </c>
      <c r="F96" s="130" t="s">
        <v>298</v>
      </c>
      <c r="G96" s="131" t="s">
        <v>299</v>
      </c>
      <c r="H96" s="131" t="s">
        <v>184</v>
      </c>
      <c r="I96" s="131"/>
      <c r="J96" s="172"/>
      <c r="K96" s="172"/>
      <c r="L96" s="172"/>
      <c r="M96" s="172"/>
      <c r="N96" s="172"/>
      <c r="O96" s="130" t="s">
        <v>82</v>
      </c>
      <c r="P96" s="172"/>
      <c r="Q96" s="173"/>
      <c r="Y96" s="285" t="s">
        <v>300</v>
      </c>
      <c r="Z96" s="73" t="s">
        <v>301</v>
      </c>
      <c r="AA96" s="73" t="s">
        <v>516</v>
      </c>
      <c r="AB96" s="283" t="s">
        <v>94</v>
      </c>
      <c r="AC96" s="283" t="s">
        <v>303</v>
      </c>
      <c r="AD96" s="91"/>
      <c r="AE96" s="91"/>
      <c r="AF96" s="91"/>
      <c r="AG96" s="218"/>
      <c r="AH96" s="217"/>
      <c r="AI96" s="91"/>
      <c r="AJ96" s="91"/>
      <c r="AK96" s="91"/>
      <c r="AL96" s="91"/>
      <c r="AM96" s="218"/>
    </row>
    <row r="97" spans="2:39" ht="15.65" customHeight="1" x14ac:dyDescent="0.25">
      <c r="B97" s="46"/>
      <c r="C97" s="47"/>
      <c r="D97" s="47"/>
      <c r="E97" s="47"/>
      <c r="F97" s="47"/>
      <c r="G97" s="47"/>
      <c r="H97" s="48"/>
      <c r="I97" s="48"/>
      <c r="J97" s="47"/>
      <c r="K97" s="47"/>
      <c r="L97" s="47"/>
      <c r="M97" s="47"/>
      <c r="N97" s="896"/>
      <c r="O97" s="895" t="s">
        <v>847</v>
      </c>
      <c r="P97" s="898"/>
      <c r="Q97" s="49"/>
      <c r="Y97" s="294"/>
      <c r="Z97" s="74" t="s">
        <v>116</v>
      </c>
      <c r="AA97" s="272"/>
      <c r="AB97" s="283" t="s">
        <v>128</v>
      </c>
      <c r="AC97" s="283"/>
      <c r="AD97" s="91"/>
      <c r="AE97" s="91"/>
      <c r="AF97" s="91"/>
      <c r="AG97" s="218"/>
      <c r="AH97" s="217"/>
      <c r="AI97" s="91"/>
      <c r="AJ97" s="91"/>
      <c r="AK97" s="91"/>
      <c r="AL97" s="91"/>
      <c r="AM97" s="218"/>
    </row>
    <row r="98" spans="2:39" ht="15.65" customHeight="1" x14ac:dyDescent="0.25">
      <c r="B98" s="46"/>
      <c r="C98" s="63" t="s">
        <v>305</v>
      </c>
      <c r="D98" s="47"/>
      <c r="E98" s="987"/>
      <c r="F98" s="988"/>
      <c r="G98" s="358"/>
      <c r="H98" s="397"/>
      <c r="I98" s="48"/>
      <c r="J98" s="47"/>
      <c r="K98" s="47"/>
      <c r="L98" s="47"/>
      <c r="M98" s="47"/>
      <c r="N98" s="106"/>
      <c r="O98" s="107">
        <f>IF(AND(E98="",F98="",G98="",H98=""),0,IFERROR(Z98*AC98,'Hidden Lists and Summaries'!$C$158))</f>
        <v>0</v>
      </c>
      <c r="P98" s="108" t="s">
        <v>90</v>
      </c>
      <c r="Q98" s="49"/>
      <c r="Y98" s="274" t="e">
        <f>VLOOKUP(F98,CO2Equivalence[],2,FALSE)</f>
        <v>#N/A</v>
      </c>
      <c r="Z98" s="104" t="e">
        <f>AB98*Y98</f>
        <v>#N/A</v>
      </c>
      <c r="AA98" s="509" t="e">
        <f>IF(F98='Key Values'!$B$221,VLOOKUP('Hydrogen Liquefaction'!E98,IndustrialProcessEmissions[],3,FALSE),VLOOKUP('Hydrogen Liquefaction'!E98,IndustrialProcessEmissions[],2,FALSE))</f>
        <v>#N/A</v>
      </c>
      <c r="AB98" s="310" t="e">
        <f>VLOOKUP(H98,massConv[#All], 3, FALSE)*G98</f>
        <v>#N/A</v>
      </c>
      <c r="AC98" s="299" t="e">
        <f t="shared" ref="AC98:AC104" si="2">AA98*iq_batchDurationYears</f>
        <v>#N/A</v>
      </c>
      <c r="AD98" s="91"/>
      <c r="AE98" s="91"/>
      <c r="AF98" s="91"/>
      <c r="AG98" s="218"/>
      <c r="AH98" s="217"/>
      <c r="AI98" s="91"/>
      <c r="AJ98" s="91"/>
      <c r="AK98" s="91"/>
      <c r="AL98" s="91"/>
      <c r="AM98" s="218"/>
    </row>
    <row r="99" spans="2:39" ht="15.65" customHeight="1" x14ac:dyDescent="0.25">
      <c r="B99" s="46"/>
      <c r="C99" s="63" t="s">
        <v>306</v>
      </c>
      <c r="D99" s="47"/>
      <c r="E99" s="989"/>
      <c r="F99" s="990"/>
      <c r="G99" s="398"/>
      <c r="H99" s="399"/>
      <c r="I99" s="48"/>
      <c r="J99" s="47"/>
      <c r="K99" s="47"/>
      <c r="L99" s="47"/>
      <c r="M99" s="47"/>
      <c r="N99" s="106"/>
      <c r="O99" s="107">
        <f>IF(AND(E99="",F99="",G99="",H99=""),0,IFERROR(Z99*AC99,'Hidden Lists and Summaries'!$C$158))</f>
        <v>0</v>
      </c>
      <c r="P99" s="108" t="s">
        <v>90</v>
      </c>
      <c r="Q99" s="49"/>
      <c r="Y99" s="217" t="e">
        <f>VLOOKUP(F99,CO2Equivalence[],2,FALSE)</f>
        <v>#N/A</v>
      </c>
      <c r="Z99" s="91" t="e">
        <f t="shared" ref="Z99:Z104" si="3">AB99*Y99</f>
        <v>#N/A</v>
      </c>
      <c r="AA99" s="510" t="e">
        <f>IF(F99='Key Values'!$B$221,VLOOKUP('Hydrogen Liquefaction'!E99,IndustrialProcessEmissions[],3,FALSE),VLOOKUP('Hydrogen Liquefaction'!E99,IndustrialProcessEmissions[],2,FALSE))</f>
        <v>#N/A</v>
      </c>
      <c r="AB99" s="284" t="e">
        <f>VLOOKUP(H99,massConv[#All], 3, FALSE)*G99</f>
        <v>#N/A</v>
      </c>
      <c r="AC99" s="300" t="e">
        <f t="shared" si="2"/>
        <v>#N/A</v>
      </c>
      <c r="AD99" s="91"/>
      <c r="AE99" s="91"/>
      <c r="AF99" s="91"/>
      <c r="AG99" s="218"/>
      <c r="AH99" s="217"/>
      <c r="AI99" s="91"/>
      <c r="AJ99" s="91"/>
      <c r="AK99" s="91"/>
      <c r="AL99" s="91"/>
      <c r="AM99" s="218"/>
    </row>
    <row r="100" spans="2:39" ht="15.65" customHeight="1" x14ac:dyDescent="0.25">
      <c r="B100" s="46"/>
      <c r="C100" s="63" t="s">
        <v>307</v>
      </c>
      <c r="D100" s="47"/>
      <c r="E100" s="989"/>
      <c r="F100" s="990"/>
      <c r="G100" s="398"/>
      <c r="H100" s="399"/>
      <c r="I100" s="48"/>
      <c r="J100" s="47"/>
      <c r="K100" s="47"/>
      <c r="L100" s="47"/>
      <c r="M100" s="47"/>
      <c r="N100" s="106"/>
      <c r="O100" s="107">
        <f>IF(AND(E100="",F100="",G100="",H100=""),0,IFERROR(Z100*AC100,'Hidden Lists and Summaries'!$C$158))</f>
        <v>0</v>
      </c>
      <c r="P100" s="108" t="s">
        <v>90</v>
      </c>
      <c r="Q100" s="49"/>
      <c r="Y100" s="217" t="e">
        <f>VLOOKUP(F100,CO2Equivalence[],2,FALSE)</f>
        <v>#N/A</v>
      </c>
      <c r="Z100" s="91" t="e">
        <f t="shared" si="3"/>
        <v>#N/A</v>
      </c>
      <c r="AA100" s="510" t="e">
        <f>IF(F100='Key Values'!$B$221,VLOOKUP('Hydrogen Liquefaction'!E100,IndustrialProcessEmissions[],3,FALSE),VLOOKUP('Hydrogen Liquefaction'!E100,IndustrialProcessEmissions[],2,FALSE))</f>
        <v>#N/A</v>
      </c>
      <c r="AB100" s="284" t="e">
        <f>VLOOKUP(H100,massConv[#All], 3, FALSE)*G100</f>
        <v>#N/A</v>
      </c>
      <c r="AC100" s="300" t="e">
        <f t="shared" si="2"/>
        <v>#N/A</v>
      </c>
      <c r="AD100" s="91"/>
      <c r="AE100" s="91"/>
      <c r="AF100" s="91"/>
      <c r="AG100" s="218"/>
      <c r="AH100" s="217"/>
      <c r="AI100" s="91"/>
      <c r="AJ100" s="91"/>
      <c r="AK100" s="91"/>
      <c r="AL100" s="91"/>
      <c r="AM100" s="218"/>
    </row>
    <row r="101" spans="2:39" x14ac:dyDescent="0.25">
      <c r="B101" s="46"/>
      <c r="C101" s="63" t="s">
        <v>308</v>
      </c>
      <c r="D101" s="47"/>
      <c r="E101" s="991"/>
      <c r="F101" s="990"/>
      <c r="G101" s="398"/>
      <c r="H101" s="399"/>
      <c r="I101" s="48"/>
      <c r="J101" s="47"/>
      <c r="K101" s="47"/>
      <c r="L101" s="47"/>
      <c r="M101" s="47"/>
      <c r="N101" s="106"/>
      <c r="O101" s="107">
        <f>IF(AND(E101="",F101="",G101="",H101=""),0,IFERROR(Z101*AC101,'Hidden Lists and Summaries'!$C$158))</f>
        <v>0</v>
      </c>
      <c r="P101" s="108" t="s">
        <v>90</v>
      </c>
      <c r="Q101" s="49"/>
      <c r="Y101" s="217" t="e">
        <f>VLOOKUP(F101,CO2Equivalence[],2,FALSE)</f>
        <v>#N/A</v>
      </c>
      <c r="Z101" s="91" t="e">
        <f t="shared" si="3"/>
        <v>#N/A</v>
      </c>
      <c r="AA101" s="510" t="e">
        <f>IF(F101='Key Values'!$B$221,VLOOKUP('Hydrogen Liquefaction'!E101,IndustrialProcessEmissions[],3,FALSE),VLOOKUP('Hydrogen Liquefaction'!E101,IndustrialProcessEmissions[],2,FALSE))</f>
        <v>#N/A</v>
      </c>
      <c r="AB101" s="284" t="e">
        <f>VLOOKUP(H101,massConv[#All], 3, FALSE)*G101</f>
        <v>#N/A</v>
      </c>
      <c r="AC101" s="300" t="e">
        <f t="shared" si="2"/>
        <v>#N/A</v>
      </c>
      <c r="AD101" s="91"/>
      <c r="AE101" s="91"/>
      <c r="AF101" s="91"/>
      <c r="AG101" s="218"/>
      <c r="AH101" s="217"/>
      <c r="AI101" s="91"/>
      <c r="AJ101" s="91"/>
      <c r="AK101" s="91"/>
      <c r="AL101" s="91"/>
      <c r="AM101" s="218"/>
    </row>
    <row r="102" spans="2:39" ht="15.65" customHeight="1" x14ac:dyDescent="0.25">
      <c r="B102" s="46"/>
      <c r="C102" s="63" t="s">
        <v>309</v>
      </c>
      <c r="D102" s="47"/>
      <c r="E102" s="989"/>
      <c r="F102" s="990"/>
      <c r="G102" s="398"/>
      <c r="H102" s="399"/>
      <c r="I102" s="48"/>
      <c r="J102" s="47"/>
      <c r="K102" s="47"/>
      <c r="L102" s="47"/>
      <c r="M102" s="47"/>
      <c r="N102" s="106"/>
      <c r="O102" s="107">
        <f>IF(AND(E102="",F102="",G102="",H102=""),0,IFERROR(Z102*AC102,'Hidden Lists and Summaries'!$C$158))</f>
        <v>0</v>
      </c>
      <c r="P102" s="108" t="s">
        <v>90</v>
      </c>
      <c r="Q102" s="49"/>
      <c r="Y102" s="217" t="e">
        <f>VLOOKUP(F102,CO2Equivalence[],2,FALSE)</f>
        <v>#N/A</v>
      </c>
      <c r="Z102" s="91" t="e">
        <f t="shared" si="3"/>
        <v>#N/A</v>
      </c>
      <c r="AA102" s="510" t="e">
        <f>IF(F102='Key Values'!$B$221,VLOOKUP('Hydrogen Liquefaction'!E102,IndustrialProcessEmissions[],3,FALSE),VLOOKUP('Hydrogen Liquefaction'!E102,IndustrialProcessEmissions[],2,FALSE))</f>
        <v>#N/A</v>
      </c>
      <c r="AB102" s="284" t="e">
        <f>VLOOKUP(H102,massConv[#All], 3, FALSE)*G102</f>
        <v>#N/A</v>
      </c>
      <c r="AC102" s="300" t="e">
        <f t="shared" si="2"/>
        <v>#N/A</v>
      </c>
      <c r="AD102" s="91"/>
      <c r="AE102" s="91"/>
      <c r="AF102" s="91"/>
      <c r="AG102" s="218"/>
      <c r="AH102" s="217"/>
      <c r="AI102" s="91"/>
      <c r="AJ102" s="91"/>
      <c r="AK102" s="91"/>
      <c r="AL102" s="91"/>
      <c r="AM102" s="218"/>
    </row>
    <row r="103" spans="2:39" ht="15.65" customHeight="1" x14ac:dyDescent="0.25">
      <c r="B103" s="46"/>
      <c r="C103" s="63" t="s">
        <v>310</v>
      </c>
      <c r="D103" s="47"/>
      <c r="E103" s="989"/>
      <c r="F103" s="990"/>
      <c r="G103" s="398"/>
      <c r="H103" s="399"/>
      <c r="I103" s="48"/>
      <c r="J103" s="47"/>
      <c r="K103" s="47"/>
      <c r="L103" s="47"/>
      <c r="M103" s="47"/>
      <c r="N103" s="106"/>
      <c r="O103" s="107">
        <f>IF(AND(E103="",F103="",G103="",H103=""),0,IFERROR(Z103*AC103,'Hidden Lists and Summaries'!$C$158))</f>
        <v>0</v>
      </c>
      <c r="P103" s="108" t="s">
        <v>90</v>
      </c>
      <c r="Q103" s="49"/>
      <c r="Y103" s="217" t="e">
        <f>VLOOKUP(F103,CO2Equivalence[],2,FALSE)</f>
        <v>#N/A</v>
      </c>
      <c r="Z103" s="91" t="e">
        <f t="shared" si="3"/>
        <v>#N/A</v>
      </c>
      <c r="AA103" s="510" t="e">
        <f>IF(F103='Key Values'!$B$221,VLOOKUP('Hydrogen Liquefaction'!E103,IndustrialProcessEmissions[],3,FALSE),VLOOKUP('Hydrogen Liquefaction'!E103,IndustrialProcessEmissions[],2,FALSE))</f>
        <v>#N/A</v>
      </c>
      <c r="AB103" s="284" t="e">
        <f>VLOOKUP(H103,massConv[#All], 3, FALSE)*G103</f>
        <v>#N/A</v>
      </c>
      <c r="AC103" s="300" t="e">
        <f t="shared" si="2"/>
        <v>#N/A</v>
      </c>
      <c r="AD103" s="91"/>
      <c r="AE103" s="91"/>
      <c r="AF103" s="91"/>
      <c r="AG103" s="218"/>
      <c r="AH103" s="217"/>
      <c r="AI103" s="91"/>
      <c r="AJ103" s="91"/>
      <c r="AK103" s="91"/>
      <c r="AL103" s="91"/>
      <c r="AM103" s="218"/>
    </row>
    <row r="104" spans="2:39" ht="15.65" customHeight="1" x14ac:dyDescent="0.25">
      <c r="B104" s="46"/>
      <c r="C104" s="63" t="s">
        <v>311</v>
      </c>
      <c r="D104" s="47"/>
      <c r="E104" s="992"/>
      <c r="F104" s="993"/>
      <c r="G104" s="359"/>
      <c r="H104" s="400"/>
      <c r="I104" s="48"/>
      <c r="J104" s="47"/>
      <c r="K104" s="47"/>
      <c r="L104" s="47"/>
      <c r="M104" s="47"/>
      <c r="N104" s="106"/>
      <c r="O104" s="107">
        <f>IF(AND(E104="",F104="",G104="",H104=""),0,IFERROR(Z104*AC104,'Hidden Lists and Summaries'!$C$158))</f>
        <v>0</v>
      </c>
      <c r="P104" s="108" t="s">
        <v>90</v>
      </c>
      <c r="Q104" s="49"/>
      <c r="Y104" s="224" t="e">
        <f>VLOOKUP(F104,CO2Equivalence[],2,FALSE)</f>
        <v>#N/A</v>
      </c>
      <c r="Z104" s="185" t="e">
        <f t="shared" si="3"/>
        <v>#N/A</v>
      </c>
      <c r="AA104" s="511" t="e">
        <f>IF(F104='Key Values'!$B$221,VLOOKUP('Hydrogen Liquefaction'!E104,IndustrialProcessEmissions[],3,FALSE),VLOOKUP('Hydrogen Liquefaction'!E104,IndustrialProcessEmissions[],2,FALSE))</f>
        <v>#N/A</v>
      </c>
      <c r="AB104" s="325" t="e">
        <f>VLOOKUP(H104,massConv[#All], 3, FALSE)*G104</f>
        <v>#N/A</v>
      </c>
      <c r="AC104" s="301" t="e">
        <f t="shared" si="2"/>
        <v>#N/A</v>
      </c>
      <c r="AD104" s="91"/>
      <c r="AE104" s="91"/>
      <c r="AF104" s="91"/>
      <c r="AG104" s="218"/>
      <c r="AH104" s="217"/>
      <c r="AI104" s="91"/>
      <c r="AJ104" s="91"/>
      <c r="AK104" s="91"/>
      <c r="AL104" s="91"/>
      <c r="AM104" s="218"/>
    </row>
    <row r="105" spans="2:39" ht="15.65" customHeight="1" x14ac:dyDescent="0.25">
      <c r="B105" s="53"/>
      <c r="C105" s="54"/>
      <c r="D105" s="54"/>
      <c r="E105" s="54"/>
      <c r="F105" s="54"/>
      <c r="G105" s="54"/>
      <c r="H105" s="65"/>
      <c r="I105" s="65"/>
      <c r="J105" s="54"/>
      <c r="K105" s="54"/>
      <c r="L105" s="54"/>
      <c r="M105" s="54"/>
      <c r="N105" s="109" t="s">
        <v>120</v>
      </c>
      <c r="O105" s="72">
        <f>SUM(O98:O104)</f>
        <v>0</v>
      </c>
      <c r="P105" s="110" t="s">
        <v>90</v>
      </c>
      <c r="Q105" s="55"/>
      <c r="Y105" s="217"/>
      <c r="Z105" s="91"/>
      <c r="AA105" s="91"/>
      <c r="AB105" s="91"/>
      <c r="AC105" s="91"/>
      <c r="AD105" s="91"/>
      <c r="AE105" s="91"/>
      <c r="AF105" s="91"/>
      <c r="AG105" s="218"/>
      <c r="AH105" s="217"/>
      <c r="AI105" s="91">
        <f>O105</f>
        <v>0</v>
      </c>
      <c r="AJ105" s="91"/>
      <c r="AK105" s="91" t="str">
        <f>'Hidden Lists and Summaries'!$B$9</f>
        <v>Industrial Process</v>
      </c>
      <c r="AL105" s="91"/>
      <c r="AM105" s="218"/>
    </row>
    <row r="106" spans="2:39" s="70" customFormat="1" ht="15.65" customHeight="1" x14ac:dyDescent="0.25">
      <c r="B106" s="56"/>
      <c r="C106" s="56"/>
      <c r="D106" s="56"/>
      <c r="E106" s="196"/>
      <c r="F106" s="196"/>
      <c r="G106" s="56"/>
      <c r="H106" s="206"/>
      <c r="I106" s="68"/>
      <c r="J106" s="56"/>
      <c r="K106" s="196"/>
      <c r="L106" s="56"/>
      <c r="M106" s="56"/>
      <c r="N106" s="69"/>
      <c r="O106" s="56"/>
      <c r="P106" s="56"/>
      <c r="Q106" s="56"/>
      <c r="Y106" s="219"/>
      <c r="Z106" s="68"/>
      <c r="AA106" s="68"/>
      <c r="AB106" s="68"/>
      <c r="AC106" s="68"/>
      <c r="AD106" s="68"/>
      <c r="AE106" s="68"/>
      <c r="AF106" s="68"/>
      <c r="AG106" s="220"/>
      <c r="AH106" s="219"/>
      <c r="AI106" s="68"/>
      <c r="AJ106" s="68"/>
      <c r="AK106" s="68"/>
      <c r="AL106" s="68"/>
      <c r="AM106" s="220"/>
    </row>
    <row r="107" spans="2:39" s="70" customFormat="1" ht="15.65" customHeight="1" x14ac:dyDescent="0.25">
      <c r="B107" s="133"/>
      <c r="C107" s="134"/>
      <c r="D107" s="134"/>
      <c r="E107" s="134"/>
      <c r="F107" s="134"/>
      <c r="G107" s="134"/>
      <c r="H107" s="186"/>
      <c r="I107" s="186"/>
      <c r="J107" s="134"/>
      <c r="K107" s="134"/>
      <c r="L107" s="134"/>
      <c r="M107" s="134"/>
      <c r="N107" s="205"/>
      <c r="O107" s="134"/>
      <c r="P107" s="134"/>
      <c r="Q107" s="135"/>
      <c r="Y107" s="219"/>
      <c r="Z107" s="68"/>
      <c r="AA107" s="68"/>
      <c r="AB107" s="68"/>
      <c r="AC107" s="68"/>
      <c r="AD107" s="68"/>
      <c r="AE107" s="68"/>
      <c r="AF107" s="68"/>
      <c r="AG107" s="220"/>
      <c r="AH107" s="219"/>
      <c r="AI107" s="68"/>
      <c r="AJ107" s="68"/>
      <c r="AK107" s="68"/>
      <c r="AL107" s="68"/>
      <c r="AM107" s="220"/>
    </row>
    <row r="108" spans="2:39" s="70" customFormat="1" ht="15.65" customHeight="1" x14ac:dyDescent="0.25">
      <c r="B108" s="136"/>
      <c r="C108" s="137" t="s">
        <v>312</v>
      </c>
      <c r="D108" s="138"/>
      <c r="E108" s="138"/>
      <c r="F108" s="138"/>
      <c r="G108" s="138"/>
      <c r="H108" s="139"/>
      <c r="I108" s="139"/>
      <c r="J108" s="138"/>
      <c r="K108" s="138"/>
      <c r="L108" s="138"/>
      <c r="M108" s="138"/>
      <c r="N108" s="199"/>
      <c r="O108" s="138"/>
      <c r="P108" s="138"/>
      <c r="Q108" s="140"/>
      <c r="Y108" s="282" t="s">
        <v>94</v>
      </c>
      <c r="Z108" s="68"/>
      <c r="AA108" s="68"/>
      <c r="AB108" s="68"/>
      <c r="AC108" s="68"/>
      <c r="AD108" s="68"/>
      <c r="AE108" s="68"/>
      <c r="AF108" s="68"/>
      <c r="AG108" s="220"/>
      <c r="AH108" s="219"/>
      <c r="AI108" s="68"/>
      <c r="AJ108" s="68"/>
      <c r="AK108" s="68"/>
      <c r="AL108" s="68"/>
      <c r="AM108" s="220"/>
    </row>
    <row r="109" spans="2:39" s="70" customFormat="1" ht="15.65" customHeight="1" x14ac:dyDescent="0.25">
      <c r="B109" s="176"/>
      <c r="C109" s="177"/>
      <c r="D109" s="177"/>
      <c r="E109" s="131" t="s">
        <v>313</v>
      </c>
      <c r="F109" s="130" t="s">
        <v>314</v>
      </c>
      <c r="G109" s="130" t="s">
        <v>315</v>
      </c>
      <c r="H109" s="130" t="s">
        <v>316</v>
      </c>
      <c r="I109" s="175"/>
      <c r="J109" s="177"/>
      <c r="K109" s="177"/>
      <c r="L109" s="177"/>
      <c r="M109" s="177"/>
      <c r="N109" s="207"/>
      <c r="O109" s="130" t="s">
        <v>82</v>
      </c>
      <c r="P109" s="177"/>
      <c r="Q109" s="178"/>
      <c r="Y109" s="282" t="s">
        <v>128</v>
      </c>
      <c r="Z109" s="68"/>
      <c r="AA109" s="68"/>
      <c r="AB109" s="68"/>
      <c r="AC109" s="68"/>
      <c r="AD109" s="68"/>
      <c r="AE109" s="68"/>
      <c r="AF109" s="68"/>
      <c r="AG109" s="220"/>
      <c r="AH109" s="219"/>
      <c r="AI109" s="68"/>
      <c r="AJ109" s="68"/>
      <c r="AK109" s="68"/>
      <c r="AL109" s="68"/>
      <c r="AM109" s="220"/>
    </row>
    <row r="110" spans="2:39" s="70" customFormat="1" ht="15.65" customHeight="1" x14ac:dyDescent="0.25">
      <c r="B110" s="209"/>
      <c r="C110" s="200"/>
      <c r="D110" s="200"/>
      <c r="E110" s="200"/>
      <c r="F110" s="200"/>
      <c r="G110" s="200"/>
      <c r="H110" s="200"/>
      <c r="I110" s="210"/>
      <c r="J110" s="200"/>
      <c r="K110" s="200"/>
      <c r="L110" s="200"/>
      <c r="M110" s="200"/>
      <c r="N110" s="211"/>
      <c r="O110" s="200"/>
      <c r="P110" s="165"/>
      <c r="Q110" s="212"/>
      <c r="Y110" s="312"/>
      <c r="Z110" s="68"/>
      <c r="AA110" s="68"/>
      <c r="AB110" s="68"/>
      <c r="AC110" s="68"/>
      <c r="AD110" s="68"/>
      <c r="AE110" s="68"/>
      <c r="AF110" s="68"/>
      <c r="AG110" s="220"/>
      <c r="AH110" s="219"/>
      <c r="AI110" s="68"/>
      <c r="AJ110" s="68"/>
      <c r="AK110" s="68"/>
      <c r="AL110" s="68"/>
      <c r="AM110" s="220"/>
    </row>
    <row r="111" spans="2:39" s="70" customFormat="1" ht="15.65" customHeight="1" x14ac:dyDescent="0.25">
      <c r="B111" s="46"/>
      <c r="C111" s="52" t="s">
        <v>317</v>
      </c>
      <c r="D111" s="49"/>
      <c r="E111" s="401"/>
      <c r="F111" s="362"/>
      <c r="G111" s="362"/>
      <c r="H111" s="402"/>
      <c r="I111" s="163"/>
      <c r="J111" s="52"/>
      <c r="K111" s="52"/>
      <c r="L111" s="52"/>
      <c r="M111" s="49"/>
      <c r="N111" s="201"/>
      <c r="O111" s="111">
        <f>IF(AND(F111="",G111="",H111=""),0,IFERROR(Y111,'Hidden Lists and Summaries'!$C$158))</f>
        <v>0</v>
      </c>
      <c r="P111" s="107" t="s">
        <v>90</v>
      </c>
      <c r="Q111" s="148"/>
      <c r="Y111" s="313" t="e">
        <f>G111*VLOOKUP(H111,massConv[#All],3,FALSE)</f>
        <v>#N/A</v>
      </c>
      <c r="Z111" s="68"/>
      <c r="AA111" s="68"/>
      <c r="AB111" s="68"/>
      <c r="AC111" s="68"/>
      <c r="AD111" s="68"/>
      <c r="AE111" s="68"/>
      <c r="AF111" s="68"/>
      <c r="AG111" s="220"/>
      <c r="AH111" s="219"/>
      <c r="AI111" s="68">
        <f>O111</f>
        <v>0</v>
      </c>
      <c r="AJ111" s="68"/>
      <c r="AK111" s="68">
        <f>F111</f>
        <v>0</v>
      </c>
      <c r="AL111" s="68"/>
      <c r="AM111" s="220" t="str">
        <f>IF(AI111='Hidden Lists and Summaries'!$B$5,"Other","")</f>
        <v/>
      </c>
    </row>
    <row r="112" spans="2:39" s="70" customFormat="1" ht="15.65" customHeight="1" x14ac:dyDescent="0.25">
      <c r="B112" s="46"/>
      <c r="C112" s="52" t="s">
        <v>318</v>
      </c>
      <c r="D112" s="49"/>
      <c r="E112" s="403"/>
      <c r="F112" s="366"/>
      <c r="G112" s="404"/>
      <c r="H112" s="405"/>
      <c r="I112" s="163"/>
      <c r="J112" s="52"/>
      <c r="K112" s="52"/>
      <c r="L112" s="52"/>
      <c r="M112" s="52"/>
      <c r="N112" s="202"/>
      <c r="O112" s="107">
        <f>IF(AND(F112="",G112="",H112=""),0,IFERROR(Y112,'Hidden Lists and Summaries'!$C$158))</f>
        <v>0</v>
      </c>
      <c r="P112" s="107" t="s">
        <v>90</v>
      </c>
      <c r="Q112" s="148"/>
      <c r="Y112" s="313" t="e">
        <f>G112*VLOOKUP(H112,massConv[#All],3,FALSE)</f>
        <v>#N/A</v>
      </c>
      <c r="Z112" s="68"/>
      <c r="AA112" s="68"/>
      <c r="AB112" s="68"/>
      <c r="AC112" s="68"/>
      <c r="AD112" s="68"/>
      <c r="AE112" s="68"/>
      <c r="AF112" s="68"/>
      <c r="AG112" s="220"/>
      <c r="AH112" s="219"/>
      <c r="AI112" s="68">
        <f>O112</f>
        <v>0</v>
      </c>
      <c r="AJ112" s="68"/>
      <c r="AK112" s="68">
        <f>F112</f>
        <v>0</v>
      </c>
      <c r="AL112" s="68"/>
      <c r="AM112" s="220" t="str">
        <f>IF(AI112='Hidden Lists and Summaries'!$B$5,"Other","")</f>
        <v/>
      </c>
    </row>
    <row r="113" spans="2:39" s="70" customFormat="1" ht="15.65" customHeight="1" x14ac:dyDescent="0.25">
      <c r="B113" s="46"/>
      <c r="C113" s="52" t="s">
        <v>319</v>
      </c>
      <c r="D113" s="52"/>
      <c r="E113" s="368"/>
      <c r="F113" s="366"/>
      <c r="G113" s="366"/>
      <c r="H113" s="406"/>
      <c r="I113" s="163"/>
      <c r="J113" s="52"/>
      <c r="K113" s="52"/>
      <c r="L113" s="52"/>
      <c r="M113" s="49"/>
      <c r="N113" s="198"/>
      <c r="O113" s="107">
        <f>IF(AND(F113="",G113="",H113=""),0,IFERROR(Y113,'Hidden Lists and Summaries'!$C$158))</f>
        <v>0</v>
      </c>
      <c r="P113" s="107" t="s">
        <v>90</v>
      </c>
      <c r="Q113" s="148"/>
      <c r="Y113" s="313" t="e">
        <f>G113*VLOOKUP(H113,massConv[#All],3,FALSE)</f>
        <v>#N/A</v>
      </c>
      <c r="Z113" s="68"/>
      <c r="AA113" s="68"/>
      <c r="AB113" s="68"/>
      <c r="AC113" s="68"/>
      <c r="AD113" s="68"/>
      <c r="AE113" s="68"/>
      <c r="AF113" s="68"/>
      <c r="AG113" s="220"/>
      <c r="AH113" s="219"/>
      <c r="AI113" s="68">
        <f>O113</f>
        <v>0</v>
      </c>
      <c r="AJ113" s="68"/>
      <c r="AK113" s="68">
        <f>F113</f>
        <v>0</v>
      </c>
      <c r="AL113" s="68"/>
      <c r="AM113" s="220" t="str">
        <f>IF(AI113='Hidden Lists and Summaries'!$B$5,"Other","")</f>
        <v/>
      </c>
    </row>
    <row r="114" spans="2:39" s="70" customFormat="1" ht="15.65" customHeight="1" x14ac:dyDescent="0.25">
      <c r="B114" s="46"/>
      <c r="C114" s="52" t="s">
        <v>320</v>
      </c>
      <c r="D114" s="52"/>
      <c r="E114" s="407"/>
      <c r="F114" s="408"/>
      <c r="G114" s="371"/>
      <c r="H114" s="409"/>
      <c r="I114" s="163"/>
      <c r="J114" s="52"/>
      <c r="K114" s="52"/>
      <c r="L114" s="52"/>
      <c r="M114" s="52"/>
      <c r="N114" s="202"/>
      <c r="O114" s="184">
        <f>IF(AND(F114="",G114="",H114=""),0,IFERROR(Y114,'Hidden Lists and Summaries'!$C$158))</f>
        <v>0</v>
      </c>
      <c r="P114" s="195" t="s">
        <v>90</v>
      </c>
      <c r="Q114" s="148"/>
      <c r="Y114" s="314" t="e">
        <f>G114*VLOOKUP(H114,massConv[#All],3,FALSE)</f>
        <v>#N/A</v>
      </c>
      <c r="Z114" s="68"/>
      <c r="AA114" s="68"/>
      <c r="AB114" s="68"/>
      <c r="AC114" s="68"/>
      <c r="AD114" s="68"/>
      <c r="AE114" s="68"/>
      <c r="AF114" s="68"/>
      <c r="AG114" s="220"/>
      <c r="AH114" s="219"/>
      <c r="AI114" s="68">
        <f>O114</f>
        <v>0</v>
      </c>
      <c r="AJ114" s="68"/>
      <c r="AK114" s="68">
        <f>F114</f>
        <v>0</v>
      </c>
      <c r="AL114" s="68"/>
      <c r="AM114" s="220" t="str">
        <f>IF(AI114='Hidden Lists and Summaries'!$B$5,"Other","")</f>
        <v/>
      </c>
    </row>
    <row r="115" spans="2:39" s="70" customFormat="1" ht="15.65" customHeight="1" x14ac:dyDescent="0.25">
      <c r="B115" s="53"/>
      <c r="C115" s="54"/>
      <c r="D115" s="54"/>
      <c r="E115" s="165"/>
      <c r="F115" s="165"/>
      <c r="G115" s="54"/>
      <c r="H115" s="213"/>
      <c r="I115" s="213"/>
      <c r="J115" s="54"/>
      <c r="K115" s="54"/>
      <c r="L115" s="54"/>
      <c r="M115" s="54"/>
      <c r="N115" s="203" t="s">
        <v>120</v>
      </c>
      <c r="O115" s="204">
        <f>SUM(O111:O114)</f>
        <v>0</v>
      </c>
      <c r="P115" s="147" t="s">
        <v>90</v>
      </c>
      <c r="Q115" s="55"/>
      <c r="Y115" s="219"/>
      <c r="Z115" s="68"/>
      <c r="AA115" s="68"/>
      <c r="AB115" s="68"/>
      <c r="AC115" s="68"/>
      <c r="AD115" s="68"/>
      <c r="AE115" s="68"/>
      <c r="AF115" s="68"/>
      <c r="AG115" s="220"/>
      <c r="AH115" s="221"/>
      <c r="AI115" s="222"/>
      <c r="AJ115" s="222"/>
      <c r="AK115" s="222"/>
      <c r="AL115" s="222"/>
      <c r="AM115" s="223"/>
    </row>
    <row r="116" spans="2:39" ht="15.65" customHeight="1" x14ac:dyDescent="0.25">
      <c r="B116" s="71"/>
      <c r="C116" s="71"/>
      <c r="D116" s="71"/>
      <c r="E116" s="71"/>
      <c r="F116" s="71"/>
      <c r="G116" s="71"/>
      <c r="H116" s="71"/>
      <c r="I116" s="71"/>
      <c r="J116" s="71"/>
      <c r="K116" s="71"/>
      <c r="L116" s="71"/>
      <c r="M116" s="71"/>
      <c r="N116" s="71"/>
      <c r="O116" s="208"/>
      <c r="P116" s="208"/>
      <c r="Q116" s="71"/>
      <c r="Y116" s="217"/>
      <c r="Z116" s="91"/>
      <c r="AA116" s="91"/>
      <c r="AB116" s="91"/>
      <c r="AC116" s="91"/>
      <c r="AD116" s="91"/>
      <c r="AE116" s="91"/>
      <c r="AF116" s="91"/>
      <c r="AG116" s="218"/>
    </row>
    <row r="117" spans="2:39" ht="15.65" customHeight="1" x14ac:dyDescent="0.25">
      <c r="B117" s="121"/>
      <c r="C117" s="122"/>
      <c r="D117" s="122"/>
      <c r="E117" s="122"/>
      <c r="F117" s="122"/>
      <c r="G117" s="122"/>
      <c r="H117" s="122"/>
      <c r="I117" s="122"/>
      <c r="J117" s="122"/>
      <c r="K117" s="122"/>
      <c r="L117" s="122"/>
      <c r="M117" s="122"/>
      <c r="N117" s="122"/>
      <c r="O117" s="122"/>
      <c r="P117" s="122"/>
      <c r="Q117" s="123"/>
      <c r="Y117" s="217"/>
      <c r="Z117" s="91"/>
      <c r="AA117" s="91"/>
      <c r="AB117" s="91"/>
      <c r="AC117" s="91"/>
      <c r="AD117" s="91"/>
      <c r="AE117" s="91"/>
      <c r="AF117" s="91"/>
      <c r="AG117" s="218"/>
    </row>
    <row r="118" spans="2:39" ht="15.65" customHeight="1" x14ac:dyDescent="0.25">
      <c r="B118" s="124"/>
      <c r="C118" s="125" t="s">
        <v>321</v>
      </c>
      <c r="D118" s="126"/>
      <c r="E118" s="126"/>
      <c r="F118" s="126"/>
      <c r="G118" s="126"/>
      <c r="H118" s="126"/>
      <c r="I118" s="126"/>
      <c r="J118" s="126"/>
      <c r="K118" s="126"/>
      <c r="L118" s="126"/>
      <c r="M118" s="126"/>
      <c r="N118" s="126"/>
      <c r="O118" s="126"/>
      <c r="P118" s="126"/>
      <c r="Q118" s="127"/>
      <c r="Y118" s="217"/>
      <c r="Z118" s="91"/>
      <c r="AA118" s="91"/>
      <c r="AB118" s="91"/>
      <c r="AC118" s="91"/>
      <c r="AD118" s="91"/>
      <c r="AE118" s="91"/>
      <c r="AF118" s="91"/>
      <c r="AG118" s="218"/>
    </row>
    <row r="119" spans="2:39" ht="15.65" customHeight="1" x14ac:dyDescent="0.25">
      <c r="B119" s="171"/>
      <c r="C119" s="153"/>
      <c r="D119" s="153"/>
      <c r="E119" s="130" t="s">
        <v>322</v>
      </c>
      <c r="F119" s="130" t="s">
        <v>184</v>
      </c>
      <c r="G119" s="172"/>
      <c r="H119" s="131"/>
      <c r="I119" s="131"/>
      <c r="J119" s="172"/>
      <c r="K119" s="172"/>
      <c r="L119" s="172"/>
      <c r="M119" s="172"/>
      <c r="N119" s="172"/>
      <c r="O119" s="130" t="s">
        <v>82</v>
      </c>
      <c r="P119" s="172"/>
      <c r="Q119" s="173"/>
      <c r="Y119" s="285" t="s">
        <v>109</v>
      </c>
      <c r="Z119" s="283" t="s">
        <v>324</v>
      </c>
      <c r="AA119" s="91"/>
      <c r="AB119" s="91"/>
      <c r="AC119" s="91"/>
      <c r="AD119" s="91"/>
      <c r="AE119" s="91"/>
      <c r="AF119" s="91"/>
      <c r="AG119" s="218"/>
    </row>
    <row r="120" spans="2:39" ht="15.65" customHeight="1" x14ac:dyDescent="0.25">
      <c r="B120" s="46"/>
      <c r="C120" s="47"/>
      <c r="D120" s="47"/>
      <c r="E120" s="47"/>
      <c r="F120" s="47"/>
      <c r="G120" s="47"/>
      <c r="H120" s="48"/>
      <c r="I120" s="48"/>
      <c r="J120" s="47"/>
      <c r="K120" s="47"/>
      <c r="L120" s="47"/>
      <c r="M120" s="47"/>
      <c r="N120" s="1041"/>
      <c r="O120" s="900" t="s">
        <v>325</v>
      </c>
      <c r="P120" s="898"/>
      <c r="Q120" s="49"/>
      <c r="Y120" s="520" t="s">
        <v>84</v>
      </c>
      <c r="Z120" s="315" t="s">
        <v>326</v>
      </c>
      <c r="AA120" s="91"/>
      <c r="AB120" s="91"/>
      <c r="AC120" s="91"/>
      <c r="AD120" s="91"/>
      <c r="AE120" s="91"/>
      <c r="AF120" s="91"/>
      <c r="AG120" s="218"/>
    </row>
    <row r="121" spans="2:39" ht="15.65" customHeight="1" x14ac:dyDescent="0.25">
      <c r="B121" s="46"/>
      <c r="C121" s="63" t="s">
        <v>327</v>
      </c>
      <c r="D121" s="47"/>
      <c r="E121" s="410"/>
      <c r="F121" s="908" t="s">
        <v>415</v>
      </c>
      <c r="G121" s="47"/>
      <c r="H121" s="48"/>
      <c r="I121" s="48"/>
      <c r="J121" s="47"/>
      <c r="K121" s="47"/>
      <c r="L121" s="47"/>
      <c r="M121" s="47"/>
      <c r="N121" s="106"/>
      <c r="O121" s="107">
        <f>IF(E121="",0,IFERROR(Y121*Z121,'Hidden Lists and Summaries'!$C$158))</f>
        <v>0</v>
      </c>
      <c r="P121" s="108" t="s">
        <v>90</v>
      </c>
      <c r="Q121" s="49"/>
      <c r="Y121" s="298">
        <f>VLOOKUP(F121,EnergyConversionTable[#All], 3, FALSE)*E121</f>
        <v>0</v>
      </c>
      <c r="Z121" s="225">
        <f>'Key Values'!$C$149</f>
        <v>0.95499999999999996</v>
      </c>
      <c r="AA121" s="91"/>
      <c r="AB121" s="91"/>
      <c r="AC121" s="91"/>
      <c r="AD121" s="91"/>
      <c r="AE121" s="91"/>
      <c r="AF121" s="91"/>
      <c r="AG121" s="218"/>
    </row>
    <row r="122" spans="2:39" ht="15.65" customHeight="1" x14ac:dyDescent="0.25">
      <c r="B122" s="53"/>
      <c r="C122" s="54"/>
      <c r="D122" s="54"/>
      <c r="E122" s="54"/>
      <c r="F122" s="54"/>
      <c r="G122" s="54"/>
      <c r="H122" s="65"/>
      <c r="I122" s="65"/>
      <c r="J122" s="54"/>
      <c r="K122" s="54"/>
      <c r="L122" s="54"/>
      <c r="M122" s="54"/>
      <c r="N122" s="109" t="s">
        <v>120</v>
      </c>
      <c r="O122" s="72">
        <f>SUM(O121:O121)</f>
        <v>0</v>
      </c>
      <c r="P122" s="110" t="s">
        <v>90</v>
      </c>
      <c r="Q122" s="55"/>
      <c r="Y122" s="217"/>
      <c r="Z122" s="91"/>
      <c r="AA122" s="91"/>
      <c r="AB122" s="91"/>
      <c r="AC122" s="91"/>
      <c r="AD122" s="91"/>
      <c r="AE122" s="91"/>
      <c r="AF122" s="91"/>
      <c r="AG122" s="218"/>
    </row>
    <row r="123" spans="2:39" ht="15.65" customHeight="1" x14ac:dyDescent="0.25">
      <c r="B123" s="71"/>
      <c r="C123" s="71"/>
      <c r="D123" s="71"/>
      <c r="E123" s="71"/>
      <c r="F123" s="71"/>
      <c r="G123" s="71"/>
      <c r="H123" s="71"/>
      <c r="I123" s="71"/>
      <c r="J123" s="71"/>
      <c r="K123" s="71"/>
      <c r="L123" s="71"/>
      <c r="M123" s="71"/>
      <c r="N123" s="71"/>
      <c r="O123" s="71"/>
      <c r="P123" s="71"/>
      <c r="Q123" s="71"/>
      <c r="Y123" s="217"/>
      <c r="Z123" s="91"/>
      <c r="AA123" s="91"/>
      <c r="AB123" s="91"/>
      <c r="AC123" s="91"/>
      <c r="AD123" s="91"/>
      <c r="AE123" s="91"/>
      <c r="AF123" s="91"/>
      <c r="AG123" s="218"/>
    </row>
    <row r="124" spans="2:39" ht="15.65" customHeight="1" x14ac:dyDescent="0.25">
      <c r="B124" s="121"/>
      <c r="C124" s="122"/>
      <c r="D124" s="122"/>
      <c r="E124" s="122"/>
      <c r="F124" s="122"/>
      <c r="G124" s="122"/>
      <c r="H124" s="122"/>
      <c r="I124" s="122"/>
      <c r="J124" s="122"/>
      <c r="K124" s="122"/>
      <c r="L124" s="122"/>
      <c r="M124" s="122"/>
      <c r="N124" s="122"/>
      <c r="O124" s="122"/>
      <c r="P124" s="122"/>
      <c r="Q124" s="123"/>
      <c r="Y124" s="217"/>
      <c r="Z124" s="91"/>
      <c r="AA124" s="91"/>
      <c r="AB124" s="91"/>
      <c r="AC124" s="91"/>
      <c r="AD124" s="91"/>
      <c r="AE124" s="91"/>
      <c r="AF124" s="91"/>
      <c r="AG124" s="218"/>
    </row>
    <row r="125" spans="2:39" ht="15.65" customHeight="1" x14ac:dyDescent="0.25">
      <c r="B125" s="124"/>
      <c r="C125" s="125" t="s">
        <v>328</v>
      </c>
      <c r="D125" s="126"/>
      <c r="E125" s="126"/>
      <c r="F125" s="126"/>
      <c r="G125" s="126"/>
      <c r="H125" s="126"/>
      <c r="I125" s="126"/>
      <c r="J125" s="126"/>
      <c r="K125" s="126"/>
      <c r="L125" s="126"/>
      <c r="M125" s="126"/>
      <c r="N125" s="126"/>
      <c r="O125" s="126"/>
      <c r="P125" s="126"/>
      <c r="Q125" s="127"/>
      <c r="Y125" s="217"/>
      <c r="Z125" s="91"/>
      <c r="AA125" s="91"/>
      <c r="AB125" s="91"/>
      <c r="AC125" s="91"/>
      <c r="AD125" s="91"/>
      <c r="AE125" s="91"/>
      <c r="AF125" s="91"/>
      <c r="AG125" s="218"/>
    </row>
    <row r="126" spans="2:39" ht="15.65" customHeight="1" x14ac:dyDescent="0.25">
      <c r="B126" s="171"/>
      <c r="C126" s="153"/>
      <c r="D126" s="153"/>
      <c r="E126" s="241" t="s">
        <v>133</v>
      </c>
      <c r="F126" s="130" t="s">
        <v>329</v>
      </c>
      <c r="G126" s="130" t="s">
        <v>184</v>
      </c>
      <c r="H126" s="130" t="s">
        <v>263</v>
      </c>
      <c r="I126" s="131"/>
      <c r="J126" s="172"/>
      <c r="K126" s="172"/>
      <c r="L126" s="172"/>
      <c r="M126" s="172"/>
      <c r="N126" s="172"/>
      <c r="O126" s="130" t="s">
        <v>82</v>
      </c>
      <c r="P126" s="172"/>
      <c r="Q126" s="173"/>
      <c r="Y126" s="282" t="s">
        <v>77</v>
      </c>
      <c r="Z126" s="73" t="s">
        <v>330</v>
      </c>
      <c r="AA126" s="283" t="s">
        <v>331</v>
      </c>
      <c r="AB126" s="283" t="s">
        <v>123</v>
      </c>
      <c r="AC126" s="283" t="s">
        <v>264</v>
      </c>
      <c r="AD126" s="283" t="s">
        <v>265</v>
      </c>
      <c r="AE126" s="91"/>
      <c r="AF126" s="91"/>
      <c r="AG126" s="218"/>
    </row>
    <row r="127" spans="2:39" ht="15.65" customHeight="1" x14ac:dyDescent="0.25">
      <c r="B127" s="46"/>
      <c r="C127" s="47"/>
      <c r="D127" s="47"/>
      <c r="E127" s="75"/>
      <c r="F127" s="47"/>
      <c r="G127" s="47"/>
      <c r="H127" s="47"/>
      <c r="I127" s="48"/>
      <c r="J127" s="47"/>
      <c r="K127" s="47"/>
      <c r="L127" s="47"/>
      <c r="M127" s="47"/>
      <c r="N127" s="1041"/>
      <c r="O127" s="900" t="s">
        <v>325</v>
      </c>
      <c r="P127" s="898"/>
      <c r="Q127" s="49"/>
      <c r="Y127" s="282" t="s">
        <v>273</v>
      </c>
      <c r="Z127" s="74" t="s">
        <v>128</v>
      </c>
      <c r="AA127" s="290" t="s">
        <v>128</v>
      </c>
      <c r="AB127" s="282" t="s">
        <v>272</v>
      </c>
      <c r="AC127" s="283" t="s">
        <v>270</v>
      </c>
      <c r="AD127" s="283" t="s">
        <v>270</v>
      </c>
      <c r="AE127" s="91"/>
      <c r="AF127" s="91"/>
      <c r="AG127" s="218"/>
    </row>
    <row r="128" spans="2:39" ht="15.65" customHeight="1" x14ac:dyDescent="0.25">
      <c r="B128" s="46"/>
      <c r="C128" s="63" t="s">
        <v>332</v>
      </c>
      <c r="D128" s="237"/>
      <c r="E128" s="411"/>
      <c r="F128" s="357"/>
      <c r="G128" s="412"/>
      <c r="H128" s="994"/>
      <c r="I128" s="48"/>
      <c r="J128" s="47"/>
      <c r="K128" s="47"/>
      <c r="L128" s="47"/>
      <c r="M128" s="47"/>
      <c r="N128" s="106"/>
      <c r="O128" s="107">
        <f>IF(AND(E128="",F128="",G128="",H128=""),0,IFERROR(Y128*Z128,'Hidden Lists and Summaries'!$C$158))</f>
        <v>0</v>
      </c>
      <c r="P128" s="108" t="s">
        <v>90</v>
      </c>
      <c r="Q128" s="49"/>
      <c r="Y128" s="514" t="e">
        <f>(AC128+AD128)*AB128</f>
        <v>#N/A</v>
      </c>
      <c r="Z128" s="317" t="e">
        <f>VLOOKUP(G128,massConv[#All], 3, FALSE)*F128</f>
        <v>#N/A</v>
      </c>
      <c r="AA128" s="317" t="e">
        <f>VLOOKUP(G128,massConv[#All], 3, FALSE)*E128</f>
        <v>#N/A</v>
      </c>
      <c r="AB128" s="104" t="e">
        <f>VLOOKUP(H128,SteamProperties[#All],6,FALSE)</f>
        <v>#N/A</v>
      </c>
      <c r="AC128" s="104">
        <f>'Key Values'!$C$209</f>
        <v>51.53</v>
      </c>
      <c r="AD128" s="278">
        <f>IFERROR(VLOOKUP(iq_location,GaseousFuelEmbodiedEmissions[#All],IF(iq_metro,2,3),FALSE),0)</f>
        <v>0</v>
      </c>
      <c r="AE128" s="91"/>
      <c r="AF128" s="91"/>
      <c r="AG128" s="218"/>
    </row>
    <row r="129" spans="2:33" ht="15.65" customHeight="1" x14ac:dyDescent="0.25">
      <c r="B129" s="46"/>
      <c r="C129" s="63" t="s">
        <v>333</v>
      </c>
      <c r="D129" s="237"/>
      <c r="E129" s="413"/>
      <c r="F129" s="398"/>
      <c r="G129" s="414"/>
      <c r="H129" s="995"/>
      <c r="I129" s="48"/>
      <c r="J129" s="47"/>
      <c r="K129" s="47"/>
      <c r="L129" s="47"/>
      <c r="M129" s="47"/>
      <c r="N129" s="106"/>
      <c r="O129" s="107">
        <f>IF(AND(E129="",F129="",G129="",H129=""),0,IFERROR(Y129*Z129,'Hidden Lists and Summaries'!$C$158))</f>
        <v>0</v>
      </c>
      <c r="P129" s="108" t="s">
        <v>90</v>
      </c>
      <c r="Q129" s="49"/>
      <c r="Y129" s="515" t="e">
        <f t="shared" ref="Y129:Y130" si="4">(AC129+AD129)*AB129</f>
        <v>#N/A</v>
      </c>
      <c r="Z129" s="83" t="e">
        <f>VLOOKUP(G129,massConv[#All], 3, FALSE)*F129</f>
        <v>#N/A</v>
      </c>
      <c r="AA129" s="83" t="e">
        <f>VLOOKUP(G129,massConv[#All], 3, FALSE)*E129</f>
        <v>#N/A</v>
      </c>
      <c r="AB129" s="91" t="e">
        <f>VLOOKUP(H129,SteamProperties[#All],6,FALSE)</f>
        <v>#N/A</v>
      </c>
      <c r="AC129" s="91">
        <f>'Key Values'!$C$209</f>
        <v>51.53</v>
      </c>
      <c r="AD129" s="218">
        <f>IFERROR(VLOOKUP(iq_location,GaseousFuelEmbodiedEmissions[#All],IF(iq_metro,2,3),FALSE),0)</f>
        <v>0</v>
      </c>
      <c r="AE129" s="91"/>
      <c r="AF129" s="91"/>
      <c r="AG129" s="218"/>
    </row>
    <row r="130" spans="2:33" ht="15.65" customHeight="1" x14ac:dyDescent="0.25">
      <c r="B130" s="46"/>
      <c r="C130" s="63" t="s">
        <v>334</v>
      </c>
      <c r="D130" s="237"/>
      <c r="E130" s="415"/>
      <c r="F130" s="360"/>
      <c r="G130" s="416"/>
      <c r="H130" s="996"/>
      <c r="I130" s="48"/>
      <c r="J130" s="47"/>
      <c r="K130" s="47"/>
      <c r="L130" s="47"/>
      <c r="M130" s="47"/>
      <c r="N130" s="106"/>
      <c r="O130" s="339">
        <f>IF(AND(E130="",F130="",G130="",H130=""),0,IFERROR(Y130*Z130,'Hidden Lists and Summaries'!$C$158))</f>
        <v>0</v>
      </c>
      <c r="P130" s="108" t="s">
        <v>90</v>
      </c>
      <c r="Q130" s="49"/>
      <c r="Y130" s="516" t="e">
        <f t="shared" si="4"/>
        <v>#N/A</v>
      </c>
      <c r="Z130" s="318" t="e">
        <f>VLOOKUP(G130,massConv[#All], 3, FALSE)*F130</f>
        <v>#N/A</v>
      </c>
      <c r="AA130" s="318" t="e">
        <f>VLOOKUP(G130,massConv[#All], 3, FALSE)*E130</f>
        <v>#N/A</v>
      </c>
      <c r="AB130" s="185" t="e">
        <f>VLOOKUP(H130,SteamProperties[#All],6,FALSE)</f>
        <v>#N/A</v>
      </c>
      <c r="AC130" s="185">
        <f>'Key Values'!$C$209</f>
        <v>51.53</v>
      </c>
      <c r="AD130" s="225">
        <f>IFERROR(VLOOKUP(iq_location,GaseousFuelEmbodiedEmissions[#All],IF(iq_metro,2,3),FALSE),0)</f>
        <v>0</v>
      </c>
      <c r="AE130" s="91"/>
      <c r="AF130" s="91"/>
      <c r="AG130" s="218"/>
    </row>
    <row r="131" spans="2:33" ht="15.65" customHeight="1" x14ac:dyDescent="0.25">
      <c r="B131" s="53"/>
      <c r="C131" s="54"/>
      <c r="D131" s="54"/>
      <c r="E131" s="54"/>
      <c r="F131" s="54"/>
      <c r="G131" s="54"/>
      <c r="H131" s="65"/>
      <c r="I131" s="65"/>
      <c r="J131" s="54"/>
      <c r="K131" s="54"/>
      <c r="L131" s="54"/>
      <c r="M131" s="54"/>
      <c r="N131" s="109" t="s">
        <v>120</v>
      </c>
      <c r="O131" s="72">
        <f>SUM(O128:O130)</f>
        <v>0</v>
      </c>
      <c r="P131" s="110" t="s">
        <v>90</v>
      </c>
      <c r="Q131" s="55"/>
      <c r="Y131" s="217"/>
      <c r="Z131" s="91"/>
      <c r="AA131" s="91"/>
      <c r="AB131" s="91"/>
      <c r="AC131" s="91"/>
      <c r="AD131" s="91"/>
      <c r="AE131" s="91"/>
      <c r="AF131" s="91"/>
      <c r="AG131" s="218"/>
    </row>
    <row r="132" spans="2:33" ht="15.65" customHeight="1" x14ac:dyDescent="0.25">
      <c r="B132" s="71"/>
      <c r="C132" s="71"/>
      <c r="D132" s="71"/>
      <c r="E132" s="71"/>
      <c r="F132" s="71"/>
      <c r="G132" s="71"/>
      <c r="H132" s="71"/>
      <c r="I132" s="71"/>
      <c r="J132" s="71"/>
      <c r="K132" s="71"/>
      <c r="L132" s="71"/>
      <c r="M132" s="71"/>
      <c r="N132" s="71"/>
      <c r="O132" s="71"/>
      <c r="P132" s="71"/>
      <c r="Q132" s="71"/>
      <c r="Y132" s="217"/>
      <c r="Z132" s="91"/>
      <c r="AA132" s="91"/>
      <c r="AB132" s="91"/>
      <c r="AC132" s="91"/>
      <c r="AD132" s="91"/>
      <c r="AE132" s="91"/>
      <c r="AF132" s="91"/>
      <c r="AG132" s="218"/>
    </row>
    <row r="133" spans="2:33" ht="15.65" customHeight="1" x14ac:dyDescent="0.25">
      <c r="B133" s="121"/>
      <c r="C133" s="122"/>
      <c r="D133" s="122"/>
      <c r="E133" s="122"/>
      <c r="F133" s="122"/>
      <c r="G133" s="122"/>
      <c r="H133" s="169" t="s">
        <v>605</v>
      </c>
      <c r="I133" s="122"/>
      <c r="J133" s="122"/>
      <c r="K133" s="122"/>
      <c r="L133" s="122"/>
      <c r="M133" s="122"/>
      <c r="N133" s="122"/>
      <c r="O133" s="122"/>
      <c r="P133" s="122"/>
      <c r="Q133" s="123"/>
      <c r="Y133" s="217"/>
      <c r="Z133" s="91"/>
      <c r="AA133" s="91"/>
      <c r="AB133" s="91"/>
      <c r="AC133" s="91"/>
      <c r="AD133" s="91"/>
      <c r="AE133" s="91"/>
      <c r="AF133" s="91"/>
      <c r="AG133" s="218"/>
    </row>
    <row r="134" spans="2:33" ht="15.65" customHeight="1" x14ac:dyDescent="0.25">
      <c r="B134" s="124"/>
      <c r="C134" s="145" t="s">
        <v>799</v>
      </c>
      <c r="D134" s="144"/>
      <c r="E134" s="144"/>
      <c r="F134" s="144"/>
      <c r="G134" s="144"/>
      <c r="H134" s="1881" t="s">
        <v>606</v>
      </c>
      <c r="I134" s="144"/>
      <c r="J134" s="144"/>
      <c r="K134" s="144"/>
      <c r="L134" s="144"/>
      <c r="M134" s="144"/>
      <c r="N134" s="144"/>
      <c r="O134" s="144"/>
      <c r="P134" s="144"/>
      <c r="Q134" s="127"/>
      <c r="Y134" s="217"/>
      <c r="Z134" s="91"/>
      <c r="AA134" s="91"/>
      <c r="AB134" s="91"/>
      <c r="AC134" s="91"/>
      <c r="AD134" s="91"/>
      <c r="AE134" s="91"/>
      <c r="AF134" s="91"/>
      <c r="AG134" s="218"/>
    </row>
    <row r="135" spans="2:33" ht="15.65" customHeight="1" x14ac:dyDescent="0.25">
      <c r="B135" s="171"/>
      <c r="C135" s="153"/>
      <c r="D135" s="153"/>
      <c r="E135" s="146" t="s">
        <v>336</v>
      </c>
      <c r="F135" s="130" t="s">
        <v>337</v>
      </c>
      <c r="G135" s="131" t="s">
        <v>184</v>
      </c>
      <c r="H135" s="1882"/>
      <c r="I135" s="131" t="s">
        <v>184</v>
      </c>
      <c r="J135" s="172"/>
      <c r="K135" s="172"/>
      <c r="L135" s="172"/>
      <c r="M135" s="172"/>
      <c r="N135" s="172"/>
      <c r="O135" s="130" t="s">
        <v>323</v>
      </c>
      <c r="P135" s="172"/>
      <c r="Q135" s="173"/>
      <c r="Y135" s="296" t="s">
        <v>607</v>
      </c>
      <c r="Z135" s="84" t="s">
        <v>608</v>
      </c>
      <c r="AA135" s="84" t="s">
        <v>609</v>
      </c>
      <c r="AB135" s="283" t="s">
        <v>324</v>
      </c>
      <c r="AC135" s="283" t="s">
        <v>610</v>
      </c>
      <c r="AD135" s="283" t="s">
        <v>611</v>
      </c>
      <c r="AE135" s="283" t="s">
        <v>612</v>
      </c>
      <c r="AF135" s="283" t="s">
        <v>338</v>
      </c>
      <c r="AG135" s="291" t="s">
        <v>613</v>
      </c>
    </row>
    <row r="136" spans="2:33" ht="15.65" customHeight="1" x14ac:dyDescent="0.25">
      <c r="B136" s="46"/>
      <c r="C136" s="47"/>
      <c r="D136" s="47"/>
      <c r="E136" s="238"/>
      <c r="F136" s="47"/>
      <c r="G136" s="48"/>
      <c r="H136" s="233"/>
      <c r="I136" s="48"/>
      <c r="J136" s="47"/>
      <c r="K136" s="47"/>
      <c r="L136" s="47"/>
      <c r="M136" s="47"/>
      <c r="N136" s="47"/>
      <c r="O136" s="47"/>
      <c r="P136" s="47"/>
      <c r="Q136" s="49"/>
      <c r="Y136" s="294"/>
      <c r="Z136" s="272"/>
      <c r="AA136" s="272"/>
      <c r="AB136" s="283"/>
      <c r="AC136" s="283"/>
      <c r="AD136" s="283"/>
      <c r="AE136" s="283"/>
      <c r="AF136" s="283"/>
      <c r="AG136" s="291"/>
    </row>
    <row r="137" spans="2:33" ht="15.65" customHeight="1" x14ac:dyDescent="0.25">
      <c r="B137" s="46"/>
      <c r="C137" s="47" t="s">
        <v>614</v>
      </c>
      <c r="D137" s="47"/>
      <c r="E137" s="54"/>
      <c r="F137" s="47"/>
      <c r="G137" s="65"/>
      <c r="H137" s="451"/>
      <c r="I137" s="452"/>
      <c r="J137" s="47"/>
      <c r="K137" s="47"/>
      <c r="L137" s="47"/>
      <c r="M137" s="47"/>
      <c r="N137" s="1041"/>
      <c r="O137" s="900" t="s">
        <v>325</v>
      </c>
      <c r="P137" s="898"/>
      <c r="Q137" s="49"/>
      <c r="Y137" s="294" t="s">
        <v>84</v>
      </c>
      <c r="Z137" s="340" t="s">
        <v>615</v>
      </c>
      <c r="AA137" s="96"/>
      <c r="AB137" s="283" t="s">
        <v>616</v>
      </c>
      <c r="AC137" s="283"/>
      <c r="AD137" s="283" t="s">
        <v>617</v>
      </c>
      <c r="AE137" s="283"/>
      <c r="AF137" s="283" t="s">
        <v>617</v>
      </c>
      <c r="AG137" s="291" t="s">
        <v>128</v>
      </c>
    </row>
    <row r="138" spans="2:33" ht="15.65" customHeight="1" x14ac:dyDescent="0.25">
      <c r="B138" s="46"/>
      <c r="C138" s="63" t="s">
        <v>618</v>
      </c>
      <c r="D138" s="49"/>
      <c r="E138" s="376"/>
      <c r="F138" s="453"/>
      <c r="G138" s="454"/>
      <c r="H138" s="215"/>
      <c r="I138" s="216"/>
      <c r="J138" s="47"/>
      <c r="K138" s="47"/>
      <c r="L138" s="47"/>
      <c r="M138" s="47"/>
      <c r="N138" s="106"/>
      <c r="O138" s="107">
        <f>IF(F138="",0,IFERROR(Z138*AA138*AB138*AC138,'Hidden Lists and Summaries'!$C$158))</f>
        <v>0</v>
      </c>
      <c r="P138" s="108" t="s">
        <v>90</v>
      </c>
      <c r="Q138" s="49"/>
      <c r="Y138" s="329" t="e">
        <f>'Key Values'!$C$241*'Key Values'!$C$243*liqHydrogen_quantityProduced_tonnes*1000</f>
        <v>#N/A</v>
      </c>
      <c r="Z138" s="317" t="e">
        <f>IF(H137&lt;&gt;"",VLOOKUP(I137,EnergyConversionTable[#All], 3, FALSE)*H137,Y138)</f>
        <v>#N/A</v>
      </c>
      <c r="AA138" s="83">
        <f>VLOOKUP(C138,Table8[#All],2,FALSE)</f>
        <v>0.222</v>
      </c>
      <c r="AB138" s="104">
        <f>'Key Values'!$C$149</f>
        <v>0.95499999999999996</v>
      </c>
      <c r="AC138" s="330" t="e">
        <f>AF138/AG138</f>
        <v>#N/A</v>
      </c>
      <c r="AD138" s="104" t="e">
        <f>Z138*1/AE138</f>
        <v>#N/A</v>
      </c>
      <c r="AE138" s="104">
        <f>VLOOKUP(C138,Table32[#All],2,FALSE)</f>
        <v>0.245</v>
      </c>
      <c r="AF138" s="104" t="e">
        <f>F138*VLOOKUP(G138,massConv[#All],3,FALSE)</f>
        <v>#N/A</v>
      </c>
      <c r="AG138" s="299" t="e">
        <f>IF(E138&lt;&gt;"",VLOOKUP(G138,massConv[#All],3,FALSE)*E138,AD138)</f>
        <v>#N/A</v>
      </c>
    </row>
    <row r="139" spans="2:33" ht="15.65" customHeight="1" x14ac:dyDescent="0.25">
      <c r="B139" s="46"/>
      <c r="C139" s="63" t="s">
        <v>619</v>
      </c>
      <c r="D139" s="49"/>
      <c r="E139" s="458"/>
      <c r="F139" s="538"/>
      <c r="G139" s="460"/>
      <c r="H139" s="214"/>
      <c r="I139" s="48"/>
      <c r="J139" s="47"/>
      <c r="K139" s="47"/>
      <c r="L139" s="47"/>
      <c r="M139" s="47"/>
      <c r="N139" s="106"/>
      <c r="O139" s="107">
        <f>IF(F139="",0,IFERROR(Z139*AA139*AB139*AC139,'Hidden Lists and Summaries'!$C$158))</f>
        <v>0</v>
      </c>
      <c r="P139" s="108" t="s">
        <v>90</v>
      </c>
      <c r="Q139" s="49"/>
      <c r="Y139" s="326" t="e">
        <f>'Key Values'!$C$241*'Key Values'!$C$243*liqHydrogen_quantityProduced_tonnes*1000</f>
        <v>#N/A</v>
      </c>
      <c r="Z139" s="83" t="e">
        <f>IF(H137&lt;&gt;"",VLOOKUP(I137,EnergyConversionTable[#All], 3, FALSE)*H137,Y139)</f>
        <v>#N/A</v>
      </c>
      <c r="AA139" s="83">
        <f>VLOOKUP(C139,Table8[#All],2,FALSE)</f>
        <v>8.9999999999999993E-3</v>
      </c>
      <c r="AB139" s="91">
        <f>'Key Values'!$C$149</f>
        <v>0.95499999999999996</v>
      </c>
      <c r="AC139" s="327" t="e">
        <f>AF139/AG139</f>
        <v>#N/A</v>
      </c>
      <c r="AD139" s="91" t="e">
        <f>Z139*1/AE139</f>
        <v>#N/A</v>
      </c>
      <c r="AE139" s="91">
        <f>VLOOKUP(C139,Table32[#All],2,FALSE)</f>
        <v>17.350000000000001</v>
      </c>
      <c r="AF139" s="91" t="e">
        <f>F139*VLOOKUP(G139,massConv[#All],3,FALSE)</f>
        <v>#N/A</v>
      </c>
      <c r="AG139" s="300" t="e">
        <f>IF(E139&lt;&gt;"",VLOOKUP(G139,massConv[#All],3,FALSE)*E139,AD139)</f>
        <v>#N/A</v>
      </c>
    </row>
    <row r="140" spans="2:33" ht="15.65" customHeight="1" x14ac:dyDescent="0.25">
      <c r="B140" s="53"/>
      <c r="C140" s="54"/>
      <c r="D140" s="54"/>
      <c r="E140" s="54"/>
      <c r="F140" s="54"/>
      <c r="G140" s="54"/>
      <c r="H140" s="54"/>
      <c r="I140" s="65"/>
      <c r="J140" s="54"/>
      <c r="K140" s="54"/>
      <c r="L140" s="54"/>
      <c r="M140" s="54"/>
      <c r="N140" s="109" t="s">
        <v>120</v>
      </c>
      <c r="O140" s="72">
        <f>SUM(O138:O139)</f>
        <v>0</v>
      </c>
      <c r="P140" s="110" t="s">
        <v>90</v>
      </c>
      <c r="Q140" s="55"/>
      <c r="Y140" s="217"/>
      <c r="Z140" s="91"/>
      <c r="AA140" s="104"/>
      <c r="AB140" s="91"/>
      <c r="AC140" s="91"/>
      <c r="AD140" s="91"/>
      <c r="AE140" s="91"/>
      <c r="AF140" s="91"/>
      <c r="AG140" s="218"/>
    </row>
    <row r="141" spans="2:33" ht="15.65" customHeight="1" x14ac:dyDescent="0.25">
      <c r="B141" s="71"/>
      <c r="C141" s="71"/>
      <c r="D141" s="71"/>
      <c r="E141" s="71"/>
      <c r="F141" s="71"/>
      <c r="G141" s="71"/>
      <c r="H141" s="71"/>
      <c r="I141" s="71"/>
      <c r="J141" s="71"/>
      <c r="K141" s="71"/>
      <c r="L141" s="71"/>
      <c r="M141" s="71"/>
      <c r="N141" s="71"/>
      <c r="O141" s="71"/>
      <c r="P141" s="71"/>
      <c r="Q141" s="71"/>
      <c r="Y141" s="217"/>
      <c r="Z141" s="91"/>
      <c r="AA141" s="91"/>
      <c r="AB141" s="91"/>
      <c r="AC141" s="91"/>
      <c r="AD141" s="91"/>
      <c r="AE141" s="91"/>
      <c r="AG141" s="218"/>
    </row>
    <row r="142" spans="2:33" ht="15.65" customHeight="1" x14ac:dyDescent="0.25">
      <c r="B142" s="121"/>
      <c r="C142" s="122"/>
      <c r="D142" s="122"/>
      <c r="E142" s="122"/>
      <c r="F142" s="122"/>
      <c r="G142" s="122"/>
      <c r="H142" s="122"/>
      <c r="I142" s="122"/>
      <c r="J142" s="122"/>
      <c r="K142" s="122"/>
      <c r="L142" s="122"/>
      <c r="M142" s="122"/>
      <c r="N142" s="122"/>
      <c r="O142" s="122"/>
      <c r="P142" s="122"/>
      <c r="Q142" s="123"/>
      <c r="Y142" s="217"/>
      <c r="Z142" s="91"/>
      <c r="AA142" s="91"/>
      <c r="AB142" s="91"/>
      <c r="AC142" s="91"/>
      <c r="AD142" s="91"/>
      <c r="AE142" s="91"/>
      <c r="AG142" s="218"/>
    </row>
    <row r="143" spans="2:33" ht="15.65" customHeight="1" x14ac:dyDescent="0.25">
      <c r="B143" s="124"/>
      <c r="C143" s="125" t="s">
        <v>343</v>
      </c>
      <c r="D143" s="126"/>
      <c r="E143" s="126"/>
      <c r="F143" s="126"/>
      <c r="G143" s="126"/>
      <c r="H143" s="126"/>
      <c r="I143" s="126"/>
      <c r="J143" s="126"/>
      <c r="K143" s="126"/>
      <c r="L143" s="126"/>
      <c r="M143" s="126"/>
      <c r="N143" s="126"/>
      <c r="O143" s="126"/>
      <c r="P143" s="126"/>
      <c r="Q143" s="127"/>
      <c r="Y143" s="217"/>
      <c r="Z143" s="91"/>
      <c r="AA143" s="91"/>
      <c r="AB143" s="91"/>
      <c r="AC143" s="91"/>
      <c r="AD143" s="91"/>
      <c r="AE143" s="91"/>
      <c r="AG143" s="218"/>
    </row>
    <row r="144" spans="2:33" ht="15.65" customHeight="1" x14ac:dyDescent="0.25">
      <c r="B144" s="171"/>
      <c r="C144" s="153"/>
      <c r="D144" s="153"/>
      <c r="E144" s="241" t="s">
        <v>336</v>
      </c>
      <c r="F144" s="130" t="s">
        <v>337</v>
      </c>
      <c r="G144" s="130" t="s">
        <v>184</v>
      </c>
      <c r="H144" s="130" t="s">
        <v>344</v>
      </c>
      <c r="I144" s="131"/>
      <c r="J144" s="172"/>
      <c r="K144" s="172"/>
      <c r="L144" s="172"/>
      <c r="M144" s="172"/>
      <c r="N144" s="172"/>
      <c r="O144" s="130" t="s">
        <v>323</v>
      </c>
      <c r="P144" s="172"/>
      <c r="Q144" s="173"/>
      <c r="Y144" s="296" t="s">
        <v>340</v>
      </c>
      <c r="Z144" s="296" t="s">
        <v>338</v>
      </c>
      <c r="AA144" s="296" t="s">
        <v>345</v>
      </c>
      <c r="AB144" s="296" t="s">
        <v>346</v>
      </c>
      <c r="AC144" s="91"/>
      <c r="AD144" s="91"/>
      <c r="AE144" s="91"/>
      <c r="AG144" s="218"/>
    </row>
    <row r="145" spans="1:33" ht="15.65" customHeight="1" x14ac:dyDescent="0.25">
      <c r="B145" s="46"/>
      <c r="C145" s="47"/>
      <c r="D145" s="47"/>
      <c r="E145" s="75"/>
      <c r="F145" s="47"/>
      <c r="G145" s="47"/>
      <c r="H145" s="47"/>
      <c r="I145" s="48"/>
      <c r="J145" s="47"/>
      <c r="K145" s="47"/>
      <c r="L145" s="47"/>
      <c r="M145" s="47"/>
      <c r="N145" s="1041"/>
      <c r="O145" s="900" t="s">
        <v>325</v>
      </c>
      <c r="P145" s="898"/>
      <c r="Q145" s="49"/>
      <c r="Y145" s="286" t="s">
        <v>347</v>
      </c>
      <c r="Z145" s="286" t="s">
        <v>347</v>
      </c>
      <c r="AA145" s="286"/>
      <c r="AB145" s="286" t="s">
        <v>116</v>
      </c>
      <c r="AC145" s="91"/>
      <c r="AD145" s="91"/>
      <c r="AE145" s="91"/>
      <c r="AG145" s="218"/>
    </row>
    <row r="146" spans="1:33" ht="15.65" customHeight="1" x14ac:dyDescent="0.25">
      <c r="B146" s="46"/>
      <c r="C146" s="469" t="s">
        <v>348</v>
      </c>
      <c r="D146" s="237"/>
      <c r="E146" s="411"/>
      <c r="F146" s="357"/>
      <c r="G146" s="363"/>
      <c r="H146" s="927"/>
      <c r="I146" s="48"/>
      <c r="J146" s="47"/>
      <c r="K146" s="47"/>
      <c r="L146" s="47"/>
      <c r="M146" s="47"/>
      <c r="N146" s="106"/>
      <c r="O146" s="107">
        <f>IFERROR(AB146,'Hidden Lists and Summaries'!$C$158)</f>
        <v>0</v>
      </c>
      <c r="P146" s="108" t="s">
        <v>90</v>
      </c>
      <c r="Q146" s="49"/>
      <c r="Y146" s="274">
        <f>$E146</f>
        <v>0</v>
      </c>
      <c r="Z146" s="104">
        <f>$F146</f>
        <v>0</v>
      </c>
      <c r="AA146" s="104">
        <f>$G146</f>
        <v>0</v>
      </c>
      <c r="AB146" s="278">
        <f>$H146</f>
        <v>0</v>
      </c>
      <c r="AC146" s="91"/>
      <c r="AD146" s="91"/>
      <c r="AE146" s="91"/>
      <c r="AG146" s="218"/>
    </row>
    <row r="147" spans="1:33" ht="15.65" customHeight="1" x14ac:dyDescent="0.25">
      <c r="B147" s="46"/>
      <c r="C147" s="1068" t="s">
        <v>349</v>
      </c>
      <c r="D147" s="237"/>
      <c r="E147" s="413"/>
      <c r="F147" s="398"/>
      <c r="G147" s="366"/>
      <c r="H147" s="928"/>
      <c r="I147" s="48"/>
      <c r="J147" s="47"/>
      <c r="K147" s="47"/>
      <c r="L147" s="47"/>
      <c r="M147" s="47"/>
      <c r="N147" s="106"/>
      <c r="O147" s="107">
        <f>IFERROR(AB147,'Hidden Lists and Summaries'!$C$158)</f>
        <v>0</v>
      </c>
      <c r="P147" s="108" t="s">
        <v>90</v>
      </c>
      <c r="Q147" s="49"/>
      <c r="Y147" s="217">
        <f t="shared" ref="Y147:Y148" si="5">$E147</f>
        <v>0</v>
      </c>
      <c r="Z147" s="91">
        <f t="shared" ref="Z147:Z148" si="6">$F147</f>
        <v>0</v>
      </c>
      <c r="AA147" s="91">
        <f t="shared" ref="AA147:AA148" si="7">$G147</f>
        <v>0</v>
      </c>
      <c r="AB147" s="218">
        <f t="shared" ref="AB147:AB148" si="8">$H147</f>
        <v>0</v>
      </c>
      <c r="AC147" s="91"/>
      <c r="AD147" s="91"/>
      <c r="AE147" s="91"/>
      <c r="AG147" s="218"/>
    </row>
    <row r="148" spans="1:33" ht="15.65" customHeight="1" x14ac:dyDescent="0.25">
      <c r="B148" s="46"/>
      <c r="C148" s="470" t="s">
        <v>350</v>
      </c>
      <c r="D148" s="237"/>
      <c r="E148" s="415"/>
      <c r="F148" s="360"/>
      <c r="G148" s="442"/>
      <c r="H148" s="929"/>
      <c r="I148" s="48"/>
      <c r="J148" s="47"/>
      <c r="K148" s="47"/>
      <c r="L148" s="47"/>
      <c r="M148" s="47"/>
      <c r="N148" s="106"/>
      <c r="O148" s="339">
        <f>IFERROR(AB148,'Hidden Lists and Summaries'!$C$158)</f>
        <v>0</v>
      </c>
      <c r="P148" s="108" t="s">
        <v>90</v>
      </c>
      <c r="Q148" s="49"/>
      <c r="Y148" s="224">
        <f t="shared" si="5"/>
        <v>0</v>
      </c>
      <c r="Z148" s="185">
        <f t="shared" si="6"/>
        <v>0</v>
      </c>
      <c r="AA148" s="185">
        <f t="shared" si="7"/>
        <v>0</v>
      </c>
      <c r="AB148" s="225">
        <f t="shared" si="8"/>
        <v>0</v>
      </c>
      <c r="AC148" s="91"/>
      <c r="AD148" s="91"/>
      <c r="AE148" s="91"/>
      <c r="AG148" s="218"/>
    </row>
    <row r="149" spans="1:33" ht="15.65" customHeight="1" x14ac:dyDescent="0.25">
      <c r="B149" s="53"/>
      <c r="C149" s="54"/>
      <c r="D149" s="54"/>
      <c r="E149" s="54"/>
      <c r="F149" s="54"/>
      <c r="G149" s="165"/>
      <c r="H149" s="65"/>
      <c r="I149" s="65"/>
      <c r="J149" s="54"/>
      <c r="K149" s="54"/>
      <c r="L149" s="54"/>
      <c r="M149" s="54"/>
      <c r="N149" s="109" t="s">
        <v>120</v>
      </c>
      <c r="O149" s="72">
        <f>SUM(O146:O148)</f>
        <v>0</v>
      </c>
      <c r="P149" s="110" t="s">
        <v>90</v>
      </c>
      <c r="Q149" s="55"/>
      <c r="Y149" s="217"/>
      <c r="Z149" s="91"/>
      <c r="AA149" s="91"/>
      <c r="AB149" s="91"/>
      <c r="AC149" s="91"/>
      <c r="AD149" s="91"/>
      <c r="AE149" s="91"/>
      <c r="AG149" s="218"/>
    </row>
    <row r="150" spans="1:33" ht="15.65" customHeight="1" x14ac:dyDescent="0.25">
      <c r="B150" s="71"/>
      <c r="C150" s="71"/>
      <c r="D150" s="71"/>
      <c r="E150" s="71"/>
      <c r="F150" s="71"/>
      <c r="G150" s="71"/>
      <c r="H150" s="71"/>
      <c r="I150" s="71"/>
      <c r="J150" s="71"/>
      <c r="K150" s="71"/>
      <c r="L150" s="71"/>
      <c r="M150" s="71"/>
      <c r="N150" s="71"/>
      <c r="O150" s="71"/>
      <c r="P150" s="71"/>
      <c r="Q150" s="71"/>
      <c r="Y150" s="217"/>
      <c r="Z150" s="91"/>
      <c r="AA150" s="91"/>
      <c r="AB150" s="91"/>
      <c r="AC150" s="91"/>
      <c r="AD150" s="91"/>
      <c r="AE150" s="91"/>
      <c r="AF150" s="91"/>
      <c r="AG150" s="218"/>
    </row>
    <row r="151" spans="1:33" ht="15.65" customHeight="1" x14ac:dyDescent="0.25">
      <c r="A151" s="70"/>
      <c r="B151" s="121"/>
      <c r="C151" s="122"/>
      <c r="D151" s="122"/>
      <c r="E151" s="122"/>
      <c r="F151" s="122"/>
      <c r="G151" s="122"/>
      <c r="H151" s="122"/>
      <c r="I151" s="122"/>
      <c r="J151" s="122"/>
      <c r="K151" s="122"/>
      <c r="L151" s="122"/>
      <c r="M151" s="122"/>
      <c r="N151" s="122"/>
      <c r="O151" s="122"/>
      <c r="P151" s="122"/>
      <c r="Q151" s="123"/>
      <c r="Y151" s="217"/>
      <c r="Z151" s="91"/>
      <c r="AA151" s="91"/>
      <c r="AB151" s="91"/>
      <c r="AC151" s="91"/>
      <c r="AD151" s="91"/>
      <c r="AE151" s="91"/>
      <c r="AF151" s="91"/>
      <c r="AG151" s="218"/>
    </row>
    <row r="152" spans="1:33" ht="15.65" customHeight="1" x14ac:dyDescent="0.25">
      <c r="A152" s="70"/>
      <c r="B152" s="124"/>
      <c r="C152" s="145" t="s">
        <v>351</v>
      </c>
      <c r="D152" s="144"/>
      <c r="E152" s="144"/>
      <c r="F152" s="144"/>
      <c r="G152" s="144"/>
      <c r="H152" s="144"/>
      <c r="I152" s="144"/>
      <c r="J152" s="144"/>
      <c r="K152" s="144"/>
      <c r="L152" s="144"/>
      <c r="M152" s="144"/>
      <c r="N152" s="144"/>
      <c r="O152" s="144"/>
      <c r="P152" s="144"/>
      <c r="Q152" s="127"/>
      <c r="Y152" s="217"/>
      <c r="Z152" s="91"/>
      <c r="AA152" s="91"/>
      <c r="AB152" s="91"/>
      <c r="AC152" s="91"/>
      <c r="AD152" s="91"/>
      <c r="AE152" s="91"/>
      <c r="AF152" s="91"/>
      <c r="AG152" s="218"/>
    </row>
    <row r="153" spans="1:33" ht="15.65" customHeight="1" x14ac:dyDescent="0.25">
      <c r="A153" s="70"/>
      <c r="B153" s="171"/>
      <c r="C153" s="153"/>
      <c r="D153" s="153"/>
      <c r="E153" s="130" t="s">
        <v>352</v>
      </c>
      <c r="F153" s="130" t="s">
        <v>353</v>
      </c>
      <c r="G153" s="130" t="s">
        <v>184</v>
      </c>
      <c r="H153" s="131"/>
      <c r="I153" s="131"/>
      <c r="J153" s="172"/>
      <c r="K153" s="172"/>
      <c r="L153" s="172"/>
      <c r="M153" s="172"/>
      <c r="N153" s="172"/>
      <c r="O153" s="130" t="s">
        <v>323</v>
      </c>
      <c r="P153" s="172"/>
      <c r="Q153" s="173"/>
      <c r="Y153" s="217"/>
      <c r="Z153" s="91"/>
      <c r="AA153" s="91"/>
      <c r="AB153" s="91"/>
      <c r="AC153" s="91"/>
      <c r="AD153" s="91"/>
      <c r="AE153" s="91"/>
      <c r="AF153" s="91"/>
      <c r="AG153" s="218"/>
    </row>
    <row r="154" spans="1:33" ht="15.65" customHeight="1" x14ac:dyDescent="0.25">
      <c r="A154" s="70"/>
      <c r="B154" s="46"/>
      <c r="C154" s="47"/>
      <c r="D154" s="47"/>
      <c r="E154" s="54"/>
      <c r="F154" s="47"/>
      <c r="G154" s="47"/>
      <c r="H154" s="48"/>
      <c r="I154" s="48"/>
      <c r="J154" s="47"/>
      <c r="K154" s="47"/>
      <c r="L154" s="47"/>
      <c r="M154" s="47"/>
      <c r="N154" s="47"/>
      <c r="O154" s="47"/>
      <c r="P154" s="47"/>
      <c r="Q154" s="49"/>
      <c r="Y154" s="296" t="s">
        <v>354</v>
      </c>
      <c r="Z154" s="91"/>
      <c r="AA154" s="91"/>
      <c r="AB154" s="91"/>
      <c r="AC154" s="91"/>
      <c r="AD154" s="91"/>
      <c r="AE154" s="91"/>
      <c r="AF154" s="91"/>
      <c r="AG154" s="218"/>
    </row>
    <row r="155" spans="1:33" ht="15.65" customHeight="1" x14ac:dyDescent="0.25">
      <c r="A155" s="70"/>
      <c r="B155" s="46"/>
      <c r="C155" s="47" t="s">
        <v>355</v>
      </c>
      <c r="D155" s="47"/>
      <c r="E155" s="572"/>
      <c r="F155" s="573"/>
      <c r="G155" s="909" t="s">
        <v>183</v>
      </c>
      <c r="H155" s="48"/>
      <c r="I155" s="48"/>
      <c r="J155" s="47"/>
      <c r="K155" s="47"/>
      <c r="L155" s="47"/>
      <c r="M155" s="47"/>
      <c r="N155" s="47"/>
      <c r="O155" s="47"/>
      <c r="P155" s="47"/>
      <c r="Q155" s="49"/>
      <c r="Y155" s="285" t="s">
        <v>116</v>
      </c>
      <c r="Z155" s="91"/>
      <c r="AA155" s="91"/>
      <c r="AB155" s="91"/>
      <c r="AC155" s="91"/>
      <c r="AD155" s="91"/>
      <c r="AE155" s="91"/>
      <c r="AF155" s="91"/>
      <c r="AG155" s="218"/>
    </row>
    <row r="156" spans="1:33" ht="15.65" customHeight="1" x14ac:dyDescent="0.25">
      <c r="A156" s="70"/>
      <c r="B156" s="46"/>
      <c r="C156" s="63" t="s">
        <v>356</v>
      </c>
      <c r="D156" s="47"/>
      <c r="E156" s="407"/>
      <c r="F156" s="480"/>
      <c r="G156" s="910" t="s">
        <v>183</v>
      </c>
      <c r="H156" s="48"/>
      <c r="I156" s="48"/>
      <c r="J156" s="47"/>
      <c r="K156" s="47"/>
      <c r="L156" s="47"/>
      <c r="M156" s="47"/>
      <c r="N156" s="103"/>
      <c r="O156" s="111">
        <f>IF(F156="",0,IFERROR(Y156,'Hidden Lists and Summaries'!$C$158))</f>
        <v>0</v>
      </c>
      <c r="P156" s="105" t="s">
        <v>90</v>
      </c>
      <c r="Q156" s="49"/>
      <c r="Y156" s="311">
        <f>F156*VLOOKUP(G156,massConv[#All],3,FALSE)</f>
        <v>0</v>
      </c>
      <c r="Z156" s="91"/>
      <c r="AA156" s="91"/>
      <c r="AB156" s="91"/>
      <c r="AC156" s="91"/>
      <c r="AD156" s="91"/>
      <c r="AE156" s="91"/>
      <c r="AF156" s="91"/>
      <c r="AG156" s="218"/>
    </row>
    <row r="157" spans="1:33" ht="15.65" customHeight="1" x14ac:dyDescent="0.25">
      <c r="A157" s="70"/>
      <c r="B157" s="53"/>
      <c r="C157" s="54"/>
      <c r="D157" s="54"/>
      <c r="E157" s="54"/>
      <c r="F157" s="54"/>
      <c r="G157" s="54"/>
      <c r="H157" s="65"/>
      <c r="I157" s="65"/>
      <c r="J157" s="54"/>
      <c r="K157" s="54"/>
      <c r="L157" s="54"/>
      <c r="M157" s="54"/>
      <c r="N157" s="109" t="s">
        <v>120</v>
      </c>
      <c r="O157" s="72">
        <f>SUM(O156)</f>
        <v>0</v>
      </c>
      <c r="P157" s="110" t="s">
        <v>90</v>
      </c>
      <c r="Q157" s="55"/>
      <c r="Y157" s="217"/>
      <c r="Z157" s="91"/>
      <c r="AA157" s="91"/>
      <c r="AB157" s="91"/>
      <c r="AC157" s="91"/>
      <c r="AD157" s="91"/>
      <c r="AE157" s="91"/>
      <c r="AF157" s="91"/>
      <c r="AG157" s="218"/>
    </row>
    <row r="158" spans="1:33" s="562" customFormat="1" ht="15.65" customHeight="1" x14ac:dyDescent="0.25">
      <c r="B158" s="569"/>
      <c r="C158" s="569"/>
      <c r="D158" s="569"/>
      <c r="E158" s="569"/>
      <c r="F158" s="569"/>
      <c r="G158" s="569"/>
      <c r="H158" s="564"/>
      <c r="I158" s="564"/>
      <c r="J158" s="569"/>
      <c r="K158" s="569"/>
      <c r="L158" s="569"/>
      <c r="M158" s="569"/>
      <c r="N158" s="570"/>
      <c r="O158" s="569"/>
      <c r="P158" s="569"/>
      <c r="Q158" s="569"/>
      <c r="Y158" s="563"/>
      <c r="Z158" s="564"/>
      <c r="AA158" s="564"/>
      <c r="AB158" s="564"/>
      <c r="AC158" s="564"/>
      <c r="AD158" s="564"/>
      <c r="AE158" s="564"/>
      <c r="AF158" s="564"/>
      <c r="AG158" s="565"/>
    </row>
    <row r="159" spans="1:33" s="562" customFormat="1" ht="15.65" customHeight="1" x14ac:dyDescent="0.25">
      <c r="B159" s="1042" t="str">
        <f ca="1">IF(H188&gt;0,"NOTE: Reductions and co-allocations exceed operational emissions. Excess reductions and Co-Allocations equivalent to " &amp; H188 &amp;"kg CO2-e","")</f>
        <v/>
      </c>
      <c r="C159" s="569"/>
      <c r="D159" s="569"/>
      <c r="E159" s="569"/>
      <c r="F159" s="569"/>
      <c r="G159" s="569"/>
      <c r="H159" s="564"/>
      <c r="I159" s="564"/>
      <c r="J159" s="569"/>
      <c r="K159" s="569"/>
      <c r="L159" s="569"/>
      <c r="M159" s="569"/>
      <c r="N159" s="570"/>
      <c r="O159" s="569"/>
      <c r="P159" s="569"/>
      <c r="Q159" s="569"/>
      <c r="Y159" s="563"/>
      <c r="Z159" s="564"/>
      <c r="AA159" s="564"/>
      <c r="AB159" s="564"/>
      <c r="AC159" s="564"/>
      <c r="AD159" s="564"/>
      <c r="AE159" s="564"/>
      <c r="AF159" s="564"/>
      <c r="AG159" s="565"/>
    </row>
    <row r="160" spans="1:33" s="562" customFormat="1" ht="15.65" customHeight="1" x14ac:dyDescent="0.25">
      <c r="B160" s="569"/>
      <c r="C160" s="569"/>
      <c r="D160" s="569"/>
      <c r="E160" s="569"/>
      <c r="F160" s="569"/>
      <c r="G160" s="569"/>
      <c r="H160" s="564"/>
      <c r="I160" s="564"/>
      <c r="J160" s="569"/>
      <c r="K160" s="569"/>
      <c r="L160" s="569"/>
      <c r="M160" s="569"/>
      <c r="N160" s="570"/>
      <c r="O160" s="569"/>
      <c r="P160" s="569"/>
      <c r="Q160" s="569"/>
      <c r="Y160" s="563"/>
      <c r="Z160" s="564"/>
      <c r="AA160" s="564"/>
      <c r="AB160" s="564"/>
      <c r="AC160" s="564"/>
      <c r="AD160" s="564"/>
      <c r="AE160" s="564"/>
      <c r="AF160" s="564"/>
      <c r="AG160" s="565"/>
    </row>
    <row r="161" spans="2:33" ht="15.65" customHeight="1" x14ac:dyDescent="0.25">
      <c r="B161" s="44"/>
      <c r="C161" s="44"/>
      <c r="D161" s="44"/>
      <c r="E161" s="44"/>
      <c r="F161" s="44"/>
      <c r="G161" s="44"/>
      <c r="H161" s="44"/>
      <c r="I161" s="44"/>
      <c r="J161" s="44"/>
      <c r="K161" s="44"/>
      <c r="L161" s="44"/>
      <c r="M161" s="44"/>
      <c r="N161" s="44"/>
      <c r="O161" s="44"/>
      <c r="P161" s="44"/>
      <c r="Q161" s="44"/>
      <c r="Y161" s="217"/>
      <c r="Z161" s="91"/>
      <c r="AA161" s="91"/>
      <c r="AB161" s="91"/>
      <c r="AC161" s="91"/>
      <c r="AD161" s="91"/>
      <c r="AE161" s="91"/>
      <c r="AF161" s="91"/>
      <c r="AG161" s="218"/>
    </row>
    <row r="162" spans="2:33" ht="15.65" customHeight="1" x14ac:dyDescent="0.25">
      <c r="B162" s="44"/>
      <c r="C162" s="45" t="s">
        <v>357</v>
      </c>
      <c r="D162" s="44"/>
      <c r="E162" s="44"/>
      <c r="F162" s="44"/>
      <c r="G162" s="44"/>
      <c r="H162" s="44"/>
      <c r="I162" s="44"/>
      <c r="J162" s="44"/>
      <c r="K162" s="44"/>
      <c r="L162" s="44"/>
      <c r="M162" s="44"/>
      <c r="N162" s="44"/>
      <c r="O162" s="44"/>
      <c r="P162" s="44"/>
      <c r="Q162" s="44"/>
      <c r="Y162" s="217"/>
      <c r="Z162" s="91"/>
      <c r="AA162" s="91"/>
      <c r="AB162" s="91"/>
      <c r="AC162" s="91"/>
      <c r="AD162" s="91"/>
      <c r="AE162" s="91"/>
      <c r="AF162" s="91"/>
      <c r="AG162" s="218"/>
    </row>
    <row r="163" spans="2:33" ht="15.65" customHeight="1" x14ac:dyDescent="0.25">
      <c r="B163" s="44"/>
      <c r="C163" s="44"/>
      <c r="D163" s="44"/>
      <c r="E163" s="44"/>
      <c r="F163" s="44"/>
      <c r="G163" s="44"/>
      <c r="H163" s="44"/>
      <c r="I163" s="44"/>
      <c r="J163" s="44"/>
      <c r="K163" s="44"/>
      <c r="L163" s="44"/>
      <c r="M163" s="44"/>
      <c r="N163" s="44"/>
      <c r="O163" s="44"/>
      <c r="P163" s="44"/>
      <c r="Q163" s="44"/>
      <c r="Y163" s="217"/>
      <c r="Z163" s="91"/>
      <c r="AA163" s="91"/>
      <c r="AB163" s="91"/>
      <c r="AC163" s="91"/>
      <c r="AD163" s="91"/>
      <c r="AE163" s="91"/>
      <c r="AF163" s="91"/>
      <c r="AG163" s="218"/>
    </row>
    <row r="164" spans="2:33" ht="15.65" customHeight="1" x14ac:dyDescent="0.25">
      <c r="B164" s="71"/>
      <c r="C164" s="71"/>
      <c r="D164" s="71"/>
      <c r="E164" s="71"/>
      <c r="F164" s="71"/>
      <c r="G164" s="71"/>
      <c r="H164" s="71"/>
      <c r="I164" s="71"/>
      <c r="J164" s="71"/>
      <c r="K164" s="71"/>
      <c r="L164" s="71"/>
      <c r="M164" s="71"/>
      <c r="N164" s="71"/>
      <c r="O164" s="71"/>
      <c r="P164" s="71"/>
      <c r="Q164" s="71"/>
      <c r="Y164" s="217"/>
      <c r="Z164" s="91"/>
      <c r="AA164" s="91"/>
      <c r="AB164" s="91"/>
      <c r="AC164" s="91"/>
      <c r="AD164" s="91"/>
      <c r="AE164" s="91"/>
      <c r="AF164" s="91"/>
      <c r="AG164" s="218"/>
    </row>
    <row r="165" spans="2:33" ht="15.65" customHeight="1" x14ac:dyDescent="0.25">
      <c r="B165"/>
      <c r="E165" s="282" t="s">
        <v>358</v>
      </c>
      <c r="F165" s="73" t="s">
        <v>359</v>
      </c>
      <c r="G165" s="283" t="s">
        <v>360</v>
      </c>
      <c r="H165" s="282" t="s">
        <v>361</v>
      </c>
      <c r="I165" s="73" t="s">
        <v>362</v>
      </c>
      <c r="J165"/>
      <c r="K165" s="4" t="s">
        <v>800</v>
      </c>
      <c r="L165"/>
      <c r="M165"/>
      <c r="Y165" s="217"/>
      <c r="Z165" s="91"/>
      <c r="AA165" s="91"/>
      <c r="AB165" s="91"/>
      <c r="AC165" s="91"/>
      <c r="AD165" s="91"/>
      <c r="AE165" s="91"/>
      <c r="AF165" s="91"/>
      <c r="AG165" s="218"/>
    </row>
    <row r="166" spans="2:33" ht="15.65" customHeight="1" x14ac:dyDescent="0.25">
      <c r="B166"/>
      <c r="E166" t="s">
        <v>848</v>
      </c>
      <c r="F166" t="s">
        <v>804</v>
      </c>
      <c r="G166"/>
      <c r="H166">
        <f ca="1">IFERROR(SUMIF(HydrogenLiquefactionEmissionsBreakdown[Major category],'Hidden Lists and Summaries'!B5,HydrogenLiquefactionEmissionsBreakdown[Emissions (kg CO2-e)]), 'Hidden Lists and Summaries'!$C$158)</f>
        <v>0</v>
      </c>
      <c r="I166" t="s">
        <v>90</v>
      </c>
      <c r="J166"/>
      <c r="K166" t="e">
        <f>VLOOKUP(iq_selectedPathway,$L$166:$M$168,2,FALSE)</f>
        <v>#N/A</v>
      </c>
      <c r="L166" s="4" t="s">
        <v>801</v>
      </c>
      <c r="M166" s="4" t="s">
        <v>802</v>
      </c>
      <c r="Y166" s="217"/>
      <c r="Z166" s="91"/>
      <c r="AA166" s="91"/>
      <c r="AB166" s="91"/>
      <c r="AC166" s="91"/>
      <c r="AD166" s="91"/>
      <c r="AE166" s="91"/>
      <c r="AF166" s="91"/>
      <c r="AG166" s="218"/>
    </row>
    <row r="167" spans="2:33" ht="15.65" customHeight="1" x14ac:dyDescent="0.25">
      <c r="B167"/>
      <c r="E167" t="s">
        <v>848</v>
      </c>
      <c r="F167" t="s">
        <v>365</v>
      </c>
      <c r="G167"/>
      <c r="H167">
        <f ca="1">IFERROR(H263, 'Hidden Lists and Summaries'!$C$158)</f>
        <v>0</v>
      </c>
      <c r="I167" t="s">
        <v>90</v>
      </c>
      <c r="J167"/>
      <c r="L167" s="9" t="str" cm="1">
        <f t="array" ref="L167:L169">Table34[Pathway Category]</f>
        <v>Electrolysis</v>
      </c>
      <c r="M167" t="s">
        <v>805</v>
      </c>
      <c r="Y167" s="263"/>
      <c r="Z167"/>
      <c r="AA167" s="91"/>
      <c r="AB167" s="91"/>
      <c r="AC167" s="91"/>
      <c r="AD167" s="91"/>
      <c r="AE167" s="91"/>
      <c r="AF167" s="91"/>
      <c r="AG167" s="218"/>
    </row>
    <row r="168" spans="2:33" ht="15.65" customHeight="1" x14ac:dyDescent="0.25">
      <c r="B168"/>
      <c r="E168" t="s">
        <v>848</v>
      </c>
      <c r="F168" t="s">
        <v>366</v>
      </c>
      <c r="G168"/>
      <c r="H168">
        <f ca="1">IFERROR(H264, 'Hidden Lists and Summaries'!$C$158)</f>
        <v>0</v>
      </c>
      <c r="I168" t="s">
        <v>90</v>
      </c>
      <c r="J168"/>
      <c r="L168" s="9" t="str">
        <v>Natural Gas Reforming</v>
      </c>
      <c r="M168" t="s">
        <v>806</v>
      </c>
      <c r="Y168" s="263"/>
      <c r="Z168"/>
      <c r="AA168" s="91"/>
      <c r="AB168" s="91"/>
      <c r="AC168" s="91"/>
      <c r="AD168" s="91"/>
      <c r="AE168" s="91"/>
      <c r="AF168" s="91"/>
      <c r="AG168" s="218"/>
    </row>
    <row r="169" spans="2:33" ht="15.65" customHeight="1" x14ac:dyDescent="0.25">
      <c r="B169"/>
      <c r="E169" t="s">
        <v>848</v>
      </c>
      <c r="F169" t="s">
        <v>118</v>
      </c>
      <c r="G169"/>
      <c r="H169">
        <f ca="1">IFERROR(H265, 'Hidden Lists and Summaries'!$C$158)</f>
        <v>0</v>
      </c>
      <c r="I169" t="s">
        <v>90</v>
      </c>
      <c r="J169"/>
      <c r="L169" s="9" t="str">
        <v>Coal Gasification</v>
      </c>
      <c r="M169" t="s">
        <v>807</v>
      </c>
      <c r="Y169" s="263"/>
      <c r="Z169"/>
      <c r="AA169" s="91"/>
      <c r="AB169" s="91"/>
      <c r="AC169" s="91"/>
      <c r="AD169" s="91"/>
      <c r="AE169" s="91"/>
      <c r="AF169" s="91"/>
      <c r="AG169" s="218"/>
    </row>
    <row r="170" spans="2:33" ht="15.65" customHeight="1" x14ac:dyDescent="0.25">
      <c r="B170"/>
      <c r="E170" t="s">
        <v>848</v>
      </c>
      <c r="F170" t="s">
        <v>367</v>
      </c>
      <c r="G170"/>
      <c r="H170">
        <f ca="1">IFERROR(H266, 'Hidden Lists and Summaries'!$C$158)</f>
        <v>0</v>
      </c>
      <c r="I170" t="s">
        <v>90</v>
      </c>
      <c r="J170"/>
      <c r="Y170" s="263"/>
      <c r="Z170"/>
      <c r="AA170" s="91"/>
      <c r="AB170" s="91"/>
      <c r="AC170" s="91"/>
      <c r="AD170" s="91"/>
      <c r="AE170" s="91"/>
      <c r="AF170" s="91"/>
      <c r="AG170" s="218"/>
    </row>
    <row r="171" spans="2:33" ht="15.65" customHeight="1" x14ac:dyDescent="0.25">
      <c r="B171"/>
      <c r="E171" t="s">
        <v>848</v>
      </c>
      <c r="F171" t="s">
        <v>368</v>
      </c>
      <c r="G171"/>
      <c r="H171">
        <f ca="1">IFERROR(H267, 'Hidden Lists and Summaries'!$C$158)</f>
        <v>0</v>
      </c>
      <c r="I171" t="s">
        <v>90</v>
      </c>
      <c r="J171"/>
      <c r="Y171" s="263"/>
      <c r="Z171"/>
      <c r="AA171" s="91"/>
      <c r="AB171" s="91"/>
      <c r="AC171" s="91"/>
      <c r="AD171" s="91"/>
      <c r="AE171" s="91"/>
      <c r="AF171" s="91"/>
      <c r="AG171" s="218"/>
    </row>
    <row r="172" spans="2:33" x14ac:dyDescent="0.25">
      <c r="B172"/>
      <c r="E172" t="s">
        <v>848</v>
      </c>
      <c r="F172" t="s">
        <v>370</v>
      </c>
      <c r="G172"/>
      <c r="H172">
        <f ca="1">IFERROR(SUM(H166:H171),'Hidden Lists and Summaries'!$C$158)</f>
        <v>0</v>
      </c>
      <c r="I172" t="s">
        <v>90</v>
      </c>
      <c r="J172"/>
      <c r="Y172" s="263"/>
      <c r="Z172"/>
      <c r="AA172" s="91"/>
      <c r="AB172" s="91"/>
      <c r="AC172" s="91"/>
      <c r="AD172" s="91"/>
      <c r="AE172" s="91"/>
      <c r="AF172" s="91"/>
      <c r="AG172" s="218"/>
    </row>
    <row r="173" spans="2:33" x14ac:dyDescent="0.25">
      <c r="B173"/>
      <c r="E173" t="s">
        <v>848</v>
      </c>
      <c r="F173" t="s">
        <v>371</v>
      </c>
      <c r="G173"/>
      <c r="H173" t="str">
        <f ca="1">IFERROR(H172/(liqHydrogen_quantityProduced_tonnes*1000),'Hidden Lists and Summaries'!$C$158)</f>
        <v>Error -  Review inputs</v>
      </c>
      <c r="I173" t="s">
        <v>849</v>
      </c>
      <c r="J173"/>
      <c r="Y173" s="263"/>
      <c r="Z173"/>
      <c r="AA173" s="91"/>
      <c r="AB173" s="91"/>
      <c r="AC173" s="91"/>
      <c r="AD173" s="91"/>
      <c r="AE173" s="91"/>
      <c r="AF173" s="91"/>
      <c r="AG173" s="218"/>
    </row>
    <row r="174" spans="2:33" x14ac:dyDescent="0.25">
      <c r="B174"/>
      <c r="E174" t="s">
        <v>848</v>
      </c>
      <c r="F174" t="s">
        <v>809</v>
      </c>
      <c r="G174"/>
      <c r="H174" s="227">
        <f ca="1">H268</f>
        <v>0</v>
      </c>
      <c r="I174" t="s">
        <v>90</v>
      </c>
      <c r="J174"/>
      <c r="Y174" s="263"/>
      <c r="Z174"/>
      <c r="AA174" s="91"/>
      <c r="AB174" s="91"/>
      <c r="AC174" s="91"/>
      <c r="AD174" s="91"/>
      <c r="AE174" s="91"/>
      <c r="AF174" s="91"/>
      <c r="AG174" s="218"/>
    </row>
    <row r="175" spans="2:33" ht="15.65" customHeight="1" x14ac:dyDescent="0.25">
      <c r="B175"/>
      <c r="E175" t="s">
        <v>848</v>
      </c>
      <c r="F175" t="s">
        <v>810</v>
      </c>
      <c r="G175"/>
      <c r="H175">
        <f ca="1">IFERROR(H269,'Hidden Lists and Summaries'!$C$158)</f>
        <v>0</v>
      </c>
      <c r="I175" t="s">
        <v>90</v>
      </c>
      <c r="J175"/>
      <c r="Y175" s="263"/>
      <c r="Z175"/>
      <c r="AA175" s="91"/>
      <c r="AB175" s="91"/>
      <c r="AC175" s="91"/>
      <c r="AD175" s="91"/>
      <c r="AE175" s="91"/>
      <c r="AF175" s="91"/>
      <c r="AG175" s="218"/>
    </row>
    <row r="176" spans="2:33" ht="15.65" customHeight="1" x14ac:dyDescent="0.25">
      <c r="B176"/>
      <c r="E176" t="s">
        <v>848</v>
      </c>
      <c r="F176" t="s">
        <v>811</v>
      </c>
      <c r="G176"/>
      <c r="H176">
        <f ca="1">IFERROR(H270,'Hidden Lists and Summaries'!$C$158)</f>
        <v>0</v>
      </c>
      <c r="I176" t="s">
        <v>90</v>
      </c>
      <c r="J176"/>
      <c r="Y176" s="263"/>
      <c r="Z176"/>
      <c r="AA176" s="91"/>
      <c r="AB176" s="91"/>
      <c r="AC176" s="91"/>
      <c r="AD176" s="91"/>
      <c r="AE176" s="91"/>
      <c r="AF176" s="91"/>
      <c r="AG176" s="218"/>
    </row>
    <row r="177" spans="2:43" ht="15.65" customHeight="1" x14ac:dyDescent="0.25">
      <c r="B177"/>
      <c r="E177" t="s">
        <v>848</v>
      </c>
      <c r="F177" t="s">
        <v>812</v>
      </c>
      <c r="G177"/>
      <c r="H177">
        <f ca="1">IFERROR(H271,'Hidden Lists and Summaries'!$C$158)</f>
        <v>0</v>
      </c>
      <c r="I177" t="s">
        <v>90</v>
      </c>
      <c r="J177"/>
      <c r="Y177" s="217"/>
      <c r="Z177" s="91"/>
      <c r="AA177" s="91"/>
      <c r="AB177" s="91"/>
      <c r="AC177" s="91"/>
      <c r="AD177" s="91"/>
      <c r="AE177" s="91"/>
      <c r="AF177" s="91"/>
      <c r="AG177" s="218"/>
    </row>
    <row r="178" spans="2:43" ht="15.65" customHeight="1" x14ac:dyDescent="0.25">
      <c r="B178"/>
      <c r="E178" t="s">
        <v>848</v>
      </c>
      <c r="F178" t="s">
        <v>813</v>
      </c>
      <c r="G178"/>
      <c r="H178">
        <f ca="1">IFERROR(H272,'Hidden Lists and Summaries'!$C$158)</f>
        <v>0</v>
      </c>
      <c r="I178" t="s">
        <v>90</v>
      </c>
      <c r="J178"/>
      <c r="Y178" s="217"/>
      <c r="Z178" s="91"/>
      <c r="AA178" s="91"/>
      <c r="AB178" s="91"/>
      <c r="AC178" s="91"/>
      <c r="AD178" s="91"/>
      <c r="AE178" s="91"/>
      <c r="AF178" s="91"/>
      <c r="AG178" s="218"/>
    </row>
    <row r="179" spans="2:43" ht="15.65" customHeight="1" x14ac:dyDescent="0.25">
      <c r="B179"/>
      <c r="E179" t="s">
        <v>848</v>
      </c>
      <c r="F179" t="s">
        <v>814</v>
      </c>
      <c r="G179"/>
      <c r="H179">
        <f ca="1">H274</f>
        <v>0</v>
      </c>
      <c r="I179" t="s">
        <v>90</v>
      </c>
      <c r="J179"/>
      <c r="Y179" s="331"/>
      <c r="Z179" s="91"/>
      <c r="AA179" s="91"/>
      <c r="AB179" s="91"/>
      <c r="AC179" s="91"/>
      <c r="AD179" s="91"/>
      <c r="AE179" s="91"/>
      <c r="AF179" s="91"/>
      <c r="AG179" s="218"/>
    </row>
    <row r="180" spans="2:43" ht="15.65" customHeight="1" x14ac:dyDescent="0.25">
      <c r="B180"/>
      <c r="E180" t="s">
        <v>848</v>
      </c>
      <c r="F180" t="s">
        <v>815</v>
      </c>
      <c r="G180"/>
      <c r="H180">
        <f ca="1">H275</f>
        <v>0</v>
      </c>
      <c r="I180" t="s">
        <v>90</v>
      </c>
      <c r="J180"/>
      <c r="Y180" s="331"/>
      <c r="Z180" s="91"/>
      <c r="AA180" s="91"/>
      <c r="AB180" s="91"/>
      <c r="AC180" s="91"/>
      <c r="AD180" s="91"/>
      <c r="AE180" s="91"/>
      <c r="AF180" s="91"/>
      <c r="AG180" s="218"/>
    </row>
    <row r="181" spans="2:43" ht="15.65" customHeight="1" x14ac:dyDescent="0.25">
      <c r="B181"/>
      <c r="E181" t="s">
        <v>848</v>
      </c>
      <c r="F181" t="s">
        <v>816</v>
      </c>
      <c r="G181"/>
      <c r="H181">
        <f ca="1">H276</f>
        <v>0</v>
      </c>
      <c r="I181" t="s">
        <v>90</v>
      </c>
      <c r="J181"/>
      <c r="Y181" s="219"/>
      <c r="Z181" s="91"/>
      <c r="AA181" s="91"/>
      <c r="AB181" s="91"/>
      <c r="AC181" s="91"/>
      <c r="AD181" s="91"/>
      <c r="AE181" s="91"/>
      <c r="AF181" s="91"/>
      <c r="AG181" s="218"/>
    </row>
    <row r="182" spans="2:43" ht="15.65" customHeight="1" x14ac:dyDescent="0.25">
      <c r="B182"/>
      <c r="E182" t="s">
        <v>848</v>
      </c>
      <c r="F182" t="s">
        <v>817</v>
      </c>
      <c r="G182"/>
      <c r="H182">
        <f ca="1">H277</f>
        <v>0</v>
      </c>
      <c r="I182" t="s">
        <v>90</v>
      </c>
      <c r="J182"/>
      <c r="Y182" s="219"/>
      <c r="Z182" s="91"/>
      <c r="AA182" s="91"/>
      <c r="AB182" s="91"/>
      <c r="AC182" s="91"/>
      <c r="AD182" s="91"/>
      <c r="AE182" s="91"/>
      <c r="AF182" s="91"/>
      <c r="AG182" s="218"/>
    </row>
    <row r="183" spans="2:43" ht="15.65" customHeight="1" x14ac:dyDescent="0.25">
      <c r="B183"/>
      <c r="E183" t="s">
        <v>848</v>
      </c>
      <c r="F183" t="s">
        <v>818</v>
      </c>
      <c r="G183"/>
      <c r="H183">
        <f ca="1">H278</f>
        <v>0</v>
      </c>
      <c r="I183" t="s">
        <v>90</v>
      </c>
      <c r="J183"/>
      <c r="Y183" s="219"/>
      <c r="Z183" s="91"/>
      <c r="AA183" s="91"/>
      <c r="AB183" s="91"/>
      <c r="AC183" s="91"/>
      <c r="AD183" s="91"/>
      <c r="AE183" s="91"/>
      <c r="AF183" s="91"/>
      <c r="AG183" s="218"/>
    </row>
    <row r="184" spans="2:43" ht="15.65" customHeight="1" x14ac:dyDescent="0.25">
      <c r="B184"/>
      <c r="E184" t="s">
        <v>848</v>
      </c>
      <c r="F184" t="s">
        <v>819</v>
      </c>
      <c r="G184"/>
      <c r="H184" s="227">
        <f ca="1">H281</f>
        <v>0</v>
      </c>
      <c r="I184" t="s">
        <v>90</v>
      </c>
      <c r="J184"/>
      <c r="Y184" s="219"/>
      <c r="Z184" s="91"/>
      <c r="AA184" s="91"/>
      <c r="AB184" s="91"/>
      <c r="AC184" s="91"/>
      <c r="AD184" s="91"/>
      <c r="AE184" s="91"/>
      <c r="AF184" s="91"/>
      <c r="AG184" s="218"/>
    </row>
    <row r="185" spans="2:43" ht="15.65" customHeight="1" x14ac:dyDescent="0.25">
      <c r="B185"/>
      <c r="E185" t="s">
        <v>848</v>
      </c>
      <c r="F185" t="s">
        <v>384</v>
      </c>
      <c r="G185"/>
      <c r="H185">
        <f ca="1">IFERROR(H273,'Hidden Lists and Summaries'!$C$158)</f>
        <v>0</v>
      </c>
      <c r="I185" t="s">
        <v>90</v>
      </c>
      <c r="J185"/>
      <c r="Y185" s="219"/>
      <c r="Z185" s="91"/>
      <c r="AA185" s="91"/>
      <c r="AB185" s="91"/>
      <c r="AC185" s="91"/>
      <c r="AD185" s="91"/>
      <c r="AE185" s="91"/>
      <c r="AF185" s="91"/>
      <c r="AG185" s="218"/>
    </row>
    <row r="186" spans="2:43" ht="15.65" customHeight="1" x14ac:dyDescent="0.25">
      <c r="B186"/>
      <c r="E186" t="s">
        <v>848</v>
      </c>
      <c r="F186" t="s">
        <v>385</v>
      </c>
      <c r="G186"/>
      <c r="H186">
        <f ca="1">IFERROR(MAX(H172-SUM(H175:H184)+H185+H174,0),'Hidden Lists and Summaries'!$C$158)</f>
        <v>0</v>
      </c>
      <c r="I186" t="s">
        <v>90</v>
      </c>
      <c r="J186"/>
      <c r="Y186" s="219"/>
      <c r="Z186" s="91"/>
      <c r="AA186" s="91"/>
      <c r="AB186" s="91"/>
      <c r="AC186" s="91"/>
      <c r="AD186" s="91"/>
      <c r="AE186" s="91"/>
      <c r="AF186" s="91"/>
      <c r="AG186" s="218"/>
    </row>
    <row r="187" spans="2:43" ht="15.65" customHeight="1" x14ac:dyDescent="0.25">
      <c r="B187"/>
      <c r="E187" t="s">
        <v>848</v>
      </c>
      <c r="F187" t="s">
        <v>386</v>
      </c>
      <c r="G187"/>
      <c r="H187">
        <f ca="1">IFERROR(H172-SUM(H175:H184)+H185+H174,'Hidden Lists and Summaries'!$C$158)</f>
        <v>0</v>
      </c>
      <c r="I187" t="s">
        <v>90</v>
      </c>
      <c r="J187"/>
      <c r="Y187" s="219"/>
      <c r="Z187" s="91"/>
      <c r="AA187" s="91"/>
      <c r="AB187" s="91"/>
      <c r="AC187" s="91"/>
      <c r="AD187" s="91"/>
      <c r="AE187" s="91"/>
      <c r="AF187" s="91"/>
      <c r="AG187" s="218"/>
    </row>
    <row r="188" spans="2:43" ht="15.65" customHeight="1" x14ac:dyDescent="0.25">
      <c r="B188"/>
      <c r="E188" t="s">
        <v>848</v>
      </c>
      <c r="F188" t="s">
        <v>387</v>
      </c>
      <c r="G188"/>
      <c r="H188">
        <f ca="1">IFERROR(H187-H186,'Hidden Lists and Summaries'!$C$158)</f>
        <v>0</v>
      </c>
      <c r="I188" t="s">
        <v>90</v>
      </c>
      <c r="J188"/>
      <c r="Y188" s="219"/>
      <c r="Z188" s="91"/>
      <c r="AA188" s="91"/>
      <c r="AB188" s="91"/>
      <c r="AC188" s="91"/>
      <c r="AD188" s="91"/>
      <c r="AE188" s="91"/>
      <c r="AF188" s="91"/>
      <c r="AG188" s="218"/>
    </row>
    <row r="189" spans="2:43" ht="15.65" customHeight="1" x14ac:dyDescent="0.25">
      <c r="B189"/>
      <c r="E189" t="s">
        <v>848</v>
      </c>
      <c r="F189" t="s">
        <v>388</v>
      </c>
      <c r="G189"/>
      <c r="H189" t="str">
        <f ca="1">IFERROR(H187/(liqHydrogen_quantityProduced_tonnes*1000),'Hidden Lists and Summaries'!$C$158)</f>
        <v>Error -  Review inputs</v>
      </c>
      <c r="I189" t="s">
        <v>849</v>
      </c>
      <c r="J189"/>
      <c r="Y189" s="298"/>
      <c r="Z189" s="185"/>
      <c r="AA189" s="185"/>
      <c r="AB189" s="185"/>
      <c r="AC189" s="185"/>
      <c r="AD189" s="185"/>
      <c r="AE189" s="185"/>
      <c r="AF189" s="185"/>
      <c r="AG189" s="225"/>
    </row>
    <row r="190" spans="2:43" ht="15.65" customHeight="1" x14ac:dyDescent="0.25">
      <c r="B190"/>
      <c r="E190" t="s">
        <v>848</v>
      </c>
      <c r="F190" t="s">
        <v>389</v>
      </c>
      <c r="G190"/>
      <c r="H190" s="227">
        <f ca="1">H279</f>
        <v>0</v>
      </c>
      <c r="I190" t="s">
        <v>90</v>
      </c>
    </row>
    <row r="191" spans="2:43" ht="15.65" customHeight="1" x14ac:dyDescent="0.25">
      <c r="B191"/>
      <c r="E191" t="s">
        <v>848</v>
      </c>
      <c r="F191" t="s">
        <v>390</v>
      </c>
      <c r="G191"/>
      <c r="H191" s="227">
        <f ca="1">H280</f>
        <v>0</v>
      </c>
      <c r="I191" t="s">
        <v>90</v>
      </c>
      <c r="X191" s="94"/>
      <c r="Y191" s="94"/>
      <c r="Z191" s="94"/>
      <c r="AA191" s="94"/>
      <c r="AB191" s="94"/>
      <c r="AC191" s="94"/>
      <c r="AD191" s="94"/>
      <c r="AE191" s="94"/>
      <c r="AF191" s="94"/>
      <c r="AG191" s="94"/>
      <c r="AH191" s="94"/>
      <c r="AI191" s="94"/>
      <c r="AJ191" s="94"/>
      <c r="AK191" s="94"/>
      <c r="AL191" s="94"/>
      <c r="AM191" s="94"/>
      <c r="AN191" s="94"/>
      <c r="AO191" s="94"/>
      <c r="AP191" s="94"/>
      <c r="AQ191" s="94"/>
    </row>
    <row r="192" spans="2:43" ht="15.65" customHeight="1" x14ac:dyDescent="0.25">
      <c r="B192"/>
      <c r="E192" t="s">
        <v>848</v>
      </c>
      <c r="F192" t="s">
        <v>391</v>
      </c>
      <c r="G192"/>
      <c r="H192" s="227">
        <f ca="1">SUM(H190:H191)</f>
        <v>0</v>
      </c>
      <c r="I192" t="s">
        <v>90</v>
      </c>
      <c r="X192" s="94"/>
      <c r="Y192" s="93"/>
      <c r="Z192" s="93"/>
      <c r="AA192" s="1877"/>
      <c r="AB192" s="1877"/>
      <c r="AC192" s="82"/>
      <c r="AD192" s="273"/>
      <c r="AE192" s="273"/>
      <c r="AF192" s="273"/>
      <c r="AG192" s="273"/>
      <c r="AH192" s="273"/>
      <c r="AI192" s="273"/>
      <c r="AJ192" s="273"/>
      <c r="AK192" s="273"/>
      <c r="AL192" s="94"/>
      <c r="AM192" s="94"/>
      <c r="AN192" s="94"/>
      <c r="AO192" s="94"/>
      <c r="AP192" s="94"/>
      <c r="AQ192" s="94"/>
    </row>
    <row r="193" spans="2:43" ht="15.65" customHeight="1" x14ac:dyDescent="0.25">
      <c r="B193"/>
      <c r="E193" t="s">
        <v>848</v>
      </c>
      <c r="F193" t="s">
        <v>392</v>
      </c>
      <c r="G193"/>
      <c r="H193" t="e">
        <f ca="1">H192/(liqHydrogen_quantityProduced_tonnes*1000)</f>
        <v>#N/A</v>
      </c>
      <c r="I193" t="s">
        <v>396</v>
      </c>
      <c r="X193" s="94"/>
      <c r="Y193" s="94"/>
      <c r="Z193" s="94"/>
      <c r="AA193" s="1877"/>
      <c r="AB193" s="1877"/>
      <c r="AC193" s="94"/>
      <c r="AD193" s="273"/>
      <c r="AE193" s="273"/>
      <c r="AF193" s="273"/>
      <c r="AG193" s="273"/>
      <c r="AH193" s="273"/>
      <c r="AI193" s="273"/>
      <c r="AJ193" s="273"/>
      <c r="AK193" s="273"/>
      <c r="AL193" s="94"/>
      <c r="AM193" s="94"/>
      <c r="AN193" s="94"/>
      <c r="AO193" s="94"/>
      <c r="AP193" s="94"/>
      <c r="AQ193" s="94"/>
    </row>
    <row r="194" spans="2:43" ht="15.65" customHeight="1" x14ac:dyDescent="0.25">
      <c r="B194"/>
      <c r="E194" t="s">
        <v>848</v>
      </c>
      <c r="F194" t="s">
        <v>393</v>
      </c>
      <c r="G194"/>
      <c r="H194">
        <f>conditioning_transport_and_storage_losses*1000</f>
        <v>0</v>
      </c>
      <c r="I194" t="s">
        <v>90</v>
      </c>
      <c r="X194" s="94"/>
      <c r="Y194" s="94"/>
      <c r="Z194" s="94"/>
      <c r="AA194" s="275"/>
      <c r="AB194" s="94"/>
      <c r="AC194" s="94"/>
      <c r="AD194" s="94"/>
      <c r="AE194" s="94"/>
      <c r="AF194" s="94"/>
      <c r="AG194" s="94"/>
      <c r="AH194" s="94"/>
      <c r="AI194" s="94"/>
      <c r="AJ194" s="94"/>
      <c r="AK194" s="94"/>
      <c r="AL194" s="94"/>
      <c r="AM194" s="94"/>
      <c r="AN194" s="94"/>
      <c r="AO194" s="94"/>
      <c r="AP194" s="94"/>
      <c r="AQ194" s="94"/>
    </row>
    <row r="195" spans="2:43" ht="15.65" customHeight="1" x14ac:dyDescent="0.25">
      <c r="B195"/>
      <c r="E195" t="s">
        <v>848</v>
      </c>
      <c r="F195" t="s">
        <v>398</v>
      </c>
      <c r="G195"/>
      <c r="H195" t="e">
        <f>liqHydrogen_quantityProduced_tonnes*1000-H194</f>
        <v>#N/A</v>
      </c>
      <c r="I195" t="s">
        <v>90</v>
      </c>
      <c r="X195" s="94"/>
      <c r="Y195" s="94"/>
      <c r="Z195" s="94"/>
      <c r="AA195" s="275"/>
      <c r="AB195" s="94"/>
      <c r="AC195" s="94"/>
      <c r="AD195" s="94"/>
      <c r="AE195" s="94"/>
      <c r="AF195" s="94"/>
      <c r="AG195" s="94"/>
      <c r="AH195" s="94"/>
      <c r="AI195" s="94"/>
      <c r="AJ195" s="94"/>
      <c r="AK195" s="94"/>
      <c r="AL195" s="94"/>
      <c r="AM195" s="94"/>
      <c r="AN195" s="94"/>
      <c r="AO195" s="94"/>
      <c r="AP195" s="94"/>
      <c r="AQ195" s="94"/>
    </row>
    <row r="196" spans="2:43" ht="15.65" customHeight="1" x14ac:dyDescent="0.25">
      <c r="B196"/>
      <c r="E196" t="s">
        <v>848</v>
      </c>
      <c r="F196" t="s">
        <v>395</v>
      </c>
      <c r="G196"/>
      <c r="H196" t="e">
        <f ca="1">H194/(liqHydrogen_quantityProduced_tonnes*1000)*SUM(H173,H193)</f>
        <v>#N/A</v>
      </c>
      <c r="I196" t="s">
        <v>372</v>
      </c>
      <c r="X196" s="94"/>
      <c r="Y196" s="94"/>
      <c r="Z196" s="94"/>
      <c r="AA196" s="275"/>
      <c r="AB196" s="94"/>
      <c r="AC196" s="94"/>
      <c r="AD196" s="94"/>
      <c r="AE196" s="94"/>
      <c r="AF196" s="94"/>
      <c r="AG196" s="94"/>
      <c r="AH196" s="94"/>
      <c r="AI196" s="94"/>
      <c r="AJ196" s="94"/>
      <c r="AK196" s="94"/>
      <c r="AL196" s="94"/>
      <c r="AM196" s="94"/>
      <c r="AN196" s="94"/>
      <c r="AO196" s="94"/>
      <c r="AP196" s="94"/>
      <c r="AQ196" s="94"/>
    </row>
    <row r="197" spans="2:43" ht="15.65" customHeight="1" x14ac:dyDescent="0.25">
      <c r="B197"/>
      <c r="E197" t="s">
        <v>848</v>
      </c>
      <c r="F197" t="s">
        <v>397</v>
      </c>
      <c r="G197"/>
      <c r="H197" t="e">
        <f ca="1">H194/(liqHydrogen_quantityProduced_tonnes*1000)*SUM(liqHyd_netEmissionsIntensity,H193)</f>
        <v>#N/A</v>
      </c>
      <c r="I197" t="s">
        <v>372</v>
      </c>
      <c r="X197" s="94"/>
      <c r="Y197" s="94"/>
      <c r="Z197" s="94"/>
      <c r="AA197" s="275"/>
      <c r="AB197" s="94"/>
      <c r="AC197" s="94"/>
      <c r="AD197" s="94"/>
      <c r="AE197" s="94"/>
      <c r="AF197" s="94"/>
      <c r="AG197" s="94"/>
      <c r="AH197" s="94"/>
      <c r="AI197" s="94"/>
      <c r="AJ197" s="94"/>
      <c r="AK197" s="94"/>
      <c r="AL197" s="94"/>
      <c r="AM197" s="94"/>
      <c r="AN197" s="94"/>
      <c r="AO197" s="94"/>
      <c r="AP197" s="94"/>
      <c r="AQ197" s="94"/>
    </row>
    <row r="198" spans="2:43" ht="15.65" customHeight="1" x14ac:dyDescent="0.25">
      <c r="B198"/>
      <c r="E198" t="s">
        <v>848</v>
      </c>
      <c r="F198" t="s">
        <v>399</v>
      </c>
      <c r="G198"/>
      <c r="H198" t="e">
        <f ca="1">SUM(H172,H192)/H195</f>
        <v>#N/A</v>
      </c>
      <c r="I198" t="s">
        <v>396</v>
      </c>
      <c r="X198" s="94"/>
      <c r="Y198" s="94"/>
      <c r="Z198" s="94"/>
      <c r="AA198" s="94"/>
      <c r="AB198" s="94"/>
      <c r="AC198" s="94"/>
      <c r="AD198" s="94"/>
      <c r="AE198" s="94"/>
      <c r="AF198" s="94"/>
      <c r="AG198" s="94"/>
      <c r="AH198" s="94"/>
      <c r="AI198" s="94"/>
      <c r="AJ198" s="94"/>
      <c r="AK198" s="94"/>
      <c r="AL198" s="94"/>
      <c r="AM198" s="94"/>
      <c r="AN198" s="94"/>
      <c r="AO198" s="94"/>
      <c r="AP198" s="94"/>
      <c r="AQ198" s="94"/>
    </row>
    <row r="199" spans="2:43" ht="15.65" customHeight="1" x14ac:dyDescent="0.25">
      <c r="B199"/>
      <c r="E199" t="s">
        <v>848</v>
      </c>
      <c r="F199" t="s">
        <v>400</v>
      </c>
      <c r="G199"/>
      <c r="H199" t="e">
        <f ca="1">SUM(H187,H192)/H195</f>
        <v>#N/A</v>
      </c>
      <c r="I199" t="s">
        <v>396</v>
      </c>
      <c r="X199" s="94"/>
      <c r="Y199" s="94"/>
      <c r="Z199" s="94"/>
      <c r="AA199" s="94"/>
      <c r="AB199" s="94"/>
      <c r="AC199" s="94"/>
      <c r="AD199" s="94"/>
      <c r="AE199" s="94"/>
      <c r="AF199" s="94"/>
      <c r="AG199" s="94"/>
      <c r="AH199" s="94"/>
      <c r="AI199" s="94"/>
      <c r="AJ199" s="94"/>
      <c r="AK199" s="94"/>
      <c r="AL199" s="94"/>
      <c r="AM199" s="94"/>
      <c r="AN199" s="94"/>
      <c r="AO199" s="94"/>
      <c r="AP199" s="94"/>
      <c r="AQ199" s="94"/>
    </row>
    <row r="200" spans="2:43" ht="15.65" customHeight="1" x14ac:dyDescent="0.25">
      <c r="B200"/>
      <c r="E200" t="s">
        <v>848</v>
      </c>
      <c r="F200" t="s">
        <v>401</v>
      </c>
      <c r="G200"/>
      <c r="H200">
        <f>iq_name</f>
        <v>0</v>
      </c>
      <c r="I200"/>
      <c r="X200" s="94"/>
      <c r="Y200" s="94"/>
      <c r="Z200" s="94"/>
      <c r="AA200" s="94"/>
      <c r="AB200" s="94"/>
      <c r="AC200" s="94"/>
      <c r="AD200" s="94"/>
      <c r="AE200" s="94"/>
      <c r="AF200" s="94"/>
      <c r="AG200" s="94"/>
      <c r="AH200" s="94"/>
      <c r="AI200" s="94"/>
      <c r="AJ200" s="94"/>
      <c r="AK200" s="94"/>
      <c r="AL200" s="94"/>
      <c r="AM200" s="94"/>
      <c r="AN200" s="94"/>
      <c r="AO200" s="94"/>
      <c r="AP200" s="94"/>
      <c r="AQ200" s="94"/>
    </row>
    <row r="201" spans="2:43" ht="15.65" customHeight="1" x14ac:dyDescent="0.25">
      <c r="B201"/>
      <c r="E201" t="s">
        <v>848</v>
      </c>
      <c r="F201" t="s">
        <v>402</v>
      </c>
      <c r="G201"/>
      <c r="H201">
        <f>iq_location</f>
        <v>0</v>
      </c>
      <c r="I201"/>
      <c r="X201" s="94"/>
      <c r="Y201" s="1877"/>
      <c r="Z201" s="1877"/>
      <c r="AA201" s="94"/>
      <c r="AB201" s="82"/>
      <c r="AC201" s="64"/>
      <c r="AD201" s="94"/>
      <c r="AE201" s="94"/>
      <c r="AF201" s="94"/>
      <c r="AG201" s="94"/>
      <c r="AH201" s="94"/>
      <c r="AI201" s="94"/>
      <c r="AJ201" s="94"/>
      <c r="AK201" s="94"/>
      <c r="AL201" s="94"/>
      <c r="AM201" s="94"/>
      <c r="AN201" s="94"/>
      <c r="AO201" s="94"/>
      <c r="AP201" s="94"/>
      <c r="AQ201" s="94"/>
    </row>
    <row r="202" spans="2:43" ht="15.65" customHeight="1" x14ac:dyDescent="0.25">
      <c r="B202"/>
      <c r="E202" t="s">
        <v>848</v>
      </c>
      <c r="F202" t="s">
        <v>403</v>
      </c>
      <c r="G202"/>
      <c r="H202">
        <f>liqHydrogen_capacity_tonnes</f>
        <v>0</v>
      </c>
      <c r="I202" t="s">
        <v>850</v>
      </c>
      <c r="X202" s="94"/>
      <c r="Y202" s="93"/>
      <c r="Z202" s="93"/>
      <c r="AA202" s="1877"/>
      <c r="AB202" s="1877"/>
      <c r="AC202" s="64"/>
      <c r="AD202" s="94"/>
      <c r="AE202" s="94"/>
      <c r="AF202" s="94"/>
      <c r="AG202" s="94"/>
      <c r="AH202" s="94"/>
      <c r="AI202" s="94"/>
      <c r="AJ202" s="94"/>
      <c r="AK202" s="94"/>
      <c r="AL202" s="94"/>
      <c r="AM202" s="94"/>
      <c r="AN202" s="94"/>
      <c r="AO202" s="94"/>
      <c r="AP202" s="94"/>
      <c r="AQ202" s="94"/>
    </row>
    <row r="203" spans="2:43" x14ac:dyDescent="0.25">
      <c r="B203"/>
      <c r="E203" t="s">
        <v>848</v>
      </c>
      <c r="F203" t="s">
        <v>405</v>
      </c>
      <c r="G203"/>
      <c r="H203">
        <f>iq_commencement</f>
        <v>0</v>
      </c>
      <c r="I203"/>
      <c r="X203" s="94"/>
      <c r="Y203" s="93"/>
      <c r="Z203" s="93"/>
      <c r="AA203" s="1877"/>
      <c r="AB203" s="1877"/>
      <c r="AC203" s="82"/>
      <c r="AD203" s="273"/>
      <c r="AE203" s="273"/>
      <c r="AF203" s="273"/>
      <c r="AG203" s="273"/>
      <c r="AH203" s="273"/>
      <c r="AI203" s="273"/>
      <c r="AJ203" s="273"/>
      <c r="AK203" s="273"/>
      <c r="AL203" s="94"/>
      <c r="AM203" s="94"/>
      <c r="AN203" s="94"/>
      <c r="AO203" s="94"/>
      <c r="AP203" s="94"/>
      <c r="AQ203" s="94"/>
    </row>
    <row r="204" spans="2:43" x14ac:dyDescent="0.25">
      <c r="B204"/>
      <c r="E204" t="s">
        <v>848</v>
      </c>
      <c r="F204" t="s">
        <v>822</v>
      </c>
      <c r="G204"/>
      <c r="H204" t="e">
        <f>liqHydrogen_quantityProduced_tonnes*1000</f>
        <v>#N/A</v>
      </c>
      <c r="I204" t="s">
        <v>851</v>
      </c>
      <c r="X204" s="94"/>
      <c r="Y204" s="93"/>
      <c r="Z204" s="93"/>
      <c r="AA204" s="1877"/>
      <c r="AB204" s="1877"/>
      <c r="AC204" s="94"/>
      <c r="AD204" s="273"/>
      <c r="AE204" s="273"/>
      <c r="AF204" s="273"/>
      <c r="AG204" s="273"/>
      <c r="AH204" s="273"/>
      <c r="AI204" s="273"/>
      <c r="AJ204" s="273"/>
      <c r="AK204" s="273"/>
      <c r="AL204" s="94"/>
      <c r="AM204" s="94"/>
      <c r="AN204" s="94"/>
      <c r="AO204" s="94"/>
      <c r="AP204" s="94"/>
      <c r="AQ204" s="94"/>
    </row>
    <row r="205" spans="2:43" x14ac:dyDescent="0.25">
      <c r="B205"/>
      <c r="E205" t="s">
        <v>848</v>
      </c>
      <c r="F205" t="s">
        <v>823</v>
      </c>
      <c r="G205"/>
      <c r="H205">
        <f>E24</f>
        <v>0</v>
      </c>
      <c r="I205"/>
      <c r="X205" s="94"/>
      <c r="Y205" s="1877"/>
      <c r="Z205" s="1877"/>
      <c r="AA205" s="94"/>
      <c r="AB205" s="82"/>
      <c r="AC205" s="64"/>
      <c r="AD205" s="273"/>
      <c r="AE205" s="273"/>
      <c r="AF205" s="273"/>
      <c r="AG205" s="273"/>
      <c r="AH205" s="273"/>
      <c r="AI205" s="273"/>
      <c r="AJ205" s="273"/>
      <c r="AK205" s="273"/>
      <c r="AL205" s="94"/>
      <c r="AM205" s="94"/>
      <c r="AN205" s="94"/>
      <c r="AO205" s="94"/>
      <c r="AP205" s="94"/>
      <c r="AQ205" s="94"/>
    </row>
    <row r="206" spans="2:43" x14ac:dyDescent="0.25">
      <c r="B206"/>
      <c r="E206" t="s">
        <v>848</v>
      </c>
      <c r="F206" t="s">
        <v>188</v>
      </c>
      <c r="G206"/>
      <c r="H206">
        <f>E25</f>
        <v>0</v>
      </c>
      <c r="I206" t="s">
        <v>409</v>
      </c>
      <c r="X206" s="94"/>
      <c r="Y206" s="1877"/>
      <c r="Z206" s="1877"/>
      <c r="AA206" s="94"/>
      <c r="AB206" s="82"/>
      <c r="AC206" s="64"/>
      <c r="AD206" s="273"/>
      <c r="AE206" s="273"/>
      <c r="AF206" s="273"/>
      <c r="AG206" s="273"/>
      <c r="AH206" s="273"/>
      <c r="AI206" s="273"/>
      <c r="AJ206" s="273"/>
      <c r="AK206" s="273"/>
      <c r="AL206" s="94"/>
      <c r="AM206" s="94"/>
      <c r="AN206" s="94"/>
      <c r="AO206" s="94"/>
      <c r="AP206" s="94"/>
      <c r="AQ206" s="94"/>
    </row>
    <row r="207" spans="2:43" x14ac:dyDescent="0.25">
      <c r="B207"/>
      <c r="E207" t="s">
        <v>848</v>
      </c>
      <c r="F207" t="s">
        <v>410</v>
      </c>
      <c r="G207"/>
      <c r="H207">
        <f>E26</f>
        <v>0</v>
      </c>
      <c r="I207"/>
      <c r="X207" s="94"/>
      <c r="Y207" s="94"/>
      <c r="Z207" s="94"/>
      <c r="AA207" s="94"/>
      <c r="AB207" s="82"/>
      <c r="AC207" s="94"/>
      <c r="AD207" s="273"/>
      <c r="AE207" s="273"/>
      <c r="AF207" s="273"/>
      <c r="AG207" s="273"/>
      <c r="AH207" s="273"/>
      <c r="AI207" s="273"/>
      <c r="AJ207" s="273"/>
      <c r="AK207" s="273"/>
      <c r="AL207" s="94"/>
      <c r="AM207" s="94"/>
      <c r="AN207" s="94"/>
      <c r="AO207" s="94"/>
      <c r="AP207" s="94"/>
      <c r="AQ207" s="94"/>
    </row>
    <row r="208" spans="2:43" s="70" customFormat="1" x14ac:dyDescent="0.25">
      <c r="B208"/>
      <c r="E208" t="s">
        <v>848</v>
      </c>
      <c r="F208" t="s">
        <v>411</v>
      </c>
      <c r="G208"/>
      <c r="H208" s="230">
        <f>iq_batchBegins</f>
        <v>0</v>
      </c>
      <c r="I208"/>
      <c r="X208" s="94"/>
      <c r="Y208" s="94"/>
      <c r="Z208" s="94"/>
      <c r="AA208" s="94"/>
      <c r="AB208" s="94"/>
      <c r="AC208" s="94"/>
      <c r="AD208" s="94"/>
      <c r="AE208" s="94"/>
      <c r="AF208" s="94"/>
      <c r="AG208" s="94"/>
      <c r="AH208" s="94"/>
      <c r="AI208" s="94"/>
      <c r="AJ208" s="94"/>
      <c r="AK208" s="94"/>
      <c r="AL208" s="94"/>
      <c r="AM208" s="94"/>
      <c r="AN208" s="94"/>
      <c r="AO208" s="94"/>
      <c r="AP208" s="94"/>
      <c r="AQ208" s="94"/>
    </row>
    <row r="209" spans="2:43" x14ac:dyDescent="0.25">
      <c r="B209"/>
      <c r="E209" t="s">
        <v>848</v>
      </c>
      <c r="F209" t="s">
        <v>412</v>
      </c>
      <c r="G209"/>
      <c r="H209" s="230">
        <f>iq_batchEnd</f>
        <v>0</v>
      </c>
      <c r="I209"/>
      <c r="X209" s="94"/>
      <c r="Y209" s="94"/>
      <c r="Z209" s="94"/>
      <c r="AA209" s="94"/>
      <c r="AB209" s="94"/>
      <c r="AC209" s="94"/>
      <c r="AD209" s="94"/>
      <c r="AE209" s="94"/>
      <c r="AF209" s="94"/>
      <c r="AG209" s="94"/>
      <c r="AH209" s="94"/>
      <c r="AI209" s="94"/>
      <c r="AJ209" s="94"/>
      <c r="AK209" s="94"/>
      <c r="AL209" s="94"/>
      <c r="AM209" s="94"/>
      <c r="AN209" s="94"/>
      <c r="AO209" s="94"/>
      <c r="AP209" s="94"/>
      <c r="AQ209" s="94"/>
    </row>
    <row r="210" spans="2:43" x14ac:dyDescent="0.25">
      <c r="B210"/>
      <c r="E210" t="s">
        <v>848</v>
      </c>
      <c r="F210" t="s">
        <v>413</v>
      </c>
      <c r="G210"/>
      <c r="H210" t="e">
        <f>liqHydrogen_quantityProduced_tonnes*1000</f>
        <v>#N/A</v>
      </c>
      <c r="I210" t="s">
        <v>851</v>
      </c>
      <c r="X210" s="94"/>
      <c r="Y210" s="94"/>
      <c r="Z210" s="94"/>
      <c r="AA210" s="94"/>
      <c r="AB210" s="94"/>
      <c r="AC210" s="94"/>
      <c r="AD210" s="94"/>
      <c r="AE210" s="94"/>
      <c r="AF210" s="94"/>
      <c r="AG210" s="94"/>
      <c r="AH210" s="94"/>
      <c r="AI210" s="94"/>
      <c r="AJ210" s="94"/>
      <c r="AK210" s="94"/>
      <c r="AL210" s="94"/>
      <c r="AM210" s="94"/>
      <c r="AN210" s="94"/>
      <c r="AO210" s="94"/>
      <c r="AP210" s="94"/>
      <c r="AQ210" s="94"/>
    </row>
    <row r="211" spans="2:43" x14ac:dyDescent="0.25">
      <c r="B211"/>
      <c r="E211" t="s">
        <v>848</v>
      </c>
      <c r="F211" t="s">
        <v>414</v>
      </c>
      <c r="G211"/>
      <c r="H211" cm="1">
        <f t="array" aca="1" ref="H211" ca="1">overall_totalImportedElectricity*VLOOKUP(_xlfn.TEXTAFTER(CELL("filename",$A$1),"]"),ElectricityPortionsByPathwayTable[],2,FALSE)</f>
        <v>0</v>
      </c>
      <c r="I211" t="s">
        <v>415</v>
      </c>
      <c r="X211" s="94"/>
      <c r="Y211" s="94"/>
      <c r="Z211" s="94"/>
      <c r="AA211" s="94"/>
      <c r="AB211" s="94"/>
      <c r="AC211" s="94"/>
      <c r="AD211" s="94"/>
      <c r="AE211" s="94"/>
      <c r="AF211" s="94"/>
      <c r="AG211" s="94"/>
      <c r="AH211" s="94"/>
      <c r="AI211" s="94"/>
      <c r="AJ211" s="94"/>
      <c r="AK211" s="94"/>
      <c r="AL211" s="94"/>
      <c r="AM211" s="94"/>
      <c r="AN211" s="94"/>
      <c r="AO211" s="94"/>
      <c r="AP211" s="94"/>
      <c r="AQ211" s="94"/>
    </row>
    <row r="212" spans="2:43" ht="15" customHeight="1" x14ac:dyDescent="0.25">
      <c r="B212"/>
      <c r="E212" t="s">
        <v>848</v>
      </c>
      <c r="F212" t="s">
        <v>416</v>
      </c>
      <c r="G212"/>
      <c r="H212" t="e">
        <f>overall_LocationEF</f>
        <v>#N/A</v>
      </c>
      <c r="I212" t="s">
        <v>569</v>
      </c>
      <c r="X212" s="94"/>
      <c r="Y212" s="94"/>
      <c r="Z212" s="94"/>
      <c r="AA212" s="94"/>
      <c r="AB212" s="94"/>
      <c r="AC212" s="94"/>
      <c r="AD212" s="94"/>
      <c r="AE212" s="94"/>
      <c r="AF212" s="94"/>
      <c r="AG212" s="94"/>
      <c r="AH212" s="94"/>
      <c r="AI212" s="94"/>
      <c r="AJ212" s="94"/>
      <c r="AK212" s="94"/>
      <c r="AL212" s="94"/>
      <c r="AM212" s="94"/>
      <c r="AN212" s="94"/>
      <c r="AO212" s="94"/>
      <c r="AP212" s="94"/>
      <c r="AQ212" s="94"/>
    </row>
    <row r="213" spans="2:43" ht="15" customHeight="1" x14ac:dyDescent="0.25">
      <c r="B213"/>
      <c r="E213" t="s">
        <v>848</v>
      </c>
      <c r="F213" t="s">
        <v>414</v>
      </c>
      <c r="G213"/>
      <c r="H213" cm="1">
        <f t="array" aca="1" ref="H213" ca="1">overall_totalImportedElectricity*VLOOKUP(_xlfn.TEXTAFTER(CELL("filename",$A$1),"]"),ElectricityPortionsByPathwayTable[],2,FALSE)</f>
        <v>0</v>
      </c>
      <c r="I213" t="s">
        <v>415</v>
      </c>
      <c r="X213" s="94"/>
      <c r="Y213" s="94"/>
      <c r="Z213" s="94"/>
      <c r="AA213" s="94"/>
      <c r="AB213" s="94"/>
      <c r="AC213" s="94"/>
      <c r="AD213" s="94"/>
      <c r="AE213" s="94"/>
      <c r="AF213" s="94"/>
      <c r="AG213" s="94"/>
      <c r="AH213" s="94"/>
      <c r="AI213" s="94"/>
      <c r="AJ213" s="94"/>
      <c r="AK213" s="94"/>
      <c r="AL213" s="94"/>
      <c r="AM213" s="94"/>
      <c r="AN213" s="94"/>
      <c r="AO213" s="94"/>
      <c r="AP213" s="94"/>
      <c r="AQ213" s="94"/>
    </row>
    <row r="214" spans="2:43" x14ac:dyDescent="0.25">
      <c r="B214"/>
      <c r="E214" t="s">
        <v>848</v>
      </c>
      <c r="F214" t="s">
        <v>98</v>
      </c>
      <c r="G214"/>
      <c r="H214" cm="1">
        <f t="array" aca="1" ref="H214" ca="1">'Electricity Usage'!$S22*VLOOKUP(_xlfn.TEXTAFTER(CELL("filename",$A$1),"]"),ElectricityPortionsByPathwayTable[],2,FALSE)</f>
        <v>0</v>
      </c>
      <c r="I214" t="s">
        <v>415</v>
      </c>
      <c r="X214" s="94"/>
      <c r="Y214" s="94"/>
      <c r="Z214" s="94"/>
      <c r="AA214" s="94"/>
      <c r="AB214" s="94"/>
      <c r="AC214" s="94"/>
      <c r="AD214" s="94"/>
      <c r="AE214" s="94"/>
      <c r="AF214" s="94"/>
      <c r="AG214" s="94"/>
      <c r="AH214" s="94"/>
      <c r="AI214" s="94"/>
      <c r="AJ214" s="94"/>
      <c r="AK214" s="94"/>
      <c r="AL214" s="94"/>
      <c r="AM214" s="94"/>
      <c r="AN214" s="94"/>
      <c r="AO214" s="94"/>
      <c r="AP214" s="94"/>
      <c r="AQ214" s="94"/>
    </row>
    <row r="215" spans="2:43" x14ac:dyDescent="0.25">
      <c r="B215"/>
      <c r="E215" t="s">
        <v>848</v>
      </c>
      <c r="F215" t="s">
        <v>99</v>
      </c>
      <c r="G215"/>
      <c r="H215" cm="1">
        <f t="array" aca="1" ref="H215" ca="1">'Electricity Usage'!$S23*VLOOKUP(_xlfn.TEXTAFTER(CELL("filename",$A$1),"]"),ElectricityPortionsByPathwayTable[],2,FALSE)</f>
        <v>0</v>
      </c>
      <c r="I215" t="s">
        <v>415</v>
      </c>
      <c r="X215" s="94"/>
      <c r="Y215" s="1883"/>
      <c r="Z215" s="1883"/>
      <c r="AA215" s="94"/>
      <c r="AB215" s="82"/>
      <c r="AC215" s="64"/>
      <c r="AD215" s="94"/>
      <c r="AE215" s="94"/>
      <c r="AF215" s="94"/>
      <c r="AG215" s="94"/>
      <c r="AH215" s="94"/>
      <c r="AI215" s="94"/>
      <c r="AJ215" s="94"/>
      <c r="AK215" s="94"/>
      <c r="AL215" s="94"/>
      <c r="AM215" s="94"/>
      <c r="AN215" s="94"/>
      <c r="AO215" s="94"/>
      <c r="AP215" s="94"/>
      <c r="AQ215" s="94"/>
    </row>
    <row r="216" spans="2:43" x14ac:dyDescent="0.25">
      <c r="B216"/>
      <c r="E216" t="s">
        <v>848</v>
      </c>
      <c r="F216" t="s">
        <v>100</v>
      </c>
      <c r="G216"/>
      <c r="H216" cm="1">
        <f t="array" aca="1" ref="H216" ca="1">'Electricity Usage'!$S24*VLOOKUP(_xlfn.TEXTAFTER(CELL("filename",$A$1),"]"),ElectricityPortionsByPathwayTable[],2,FALSE)</f>
        <v>0</v>
      </c>
      <c r="I216" t="s">
        <v>415</v>
      </c>
      <c r="X216" s="94"/>
      <c r="Y216" s="1883"/>
      <c r="Z216" s="1883"/>
      <c r="AA216" s="94"/>
      <c r="AB216" s="82"/>
      <c r="AC216" s="64"/>
      <c r="AD216" s="94"/>
      <c r="AE216" s="94"/>
      <c r="AF216" s="94"/>
      <c r="AG216" s="94"/>
      <c r="AH216" s="94"/>
      <c r="AI216" s="94"/>
      <c r="AJ216" s="94"/>
      <c r="AK216" s="94"/>
      <c r="AL216" s="94"/>
      <c r="AM216" s="94"/>
      <c r="AN216" s="94"/>
      <c r="AO216" s="94"/>
      <c r="AP216" s="94"/>
      <c r="AQ216" s="94"/>
    </row>
    <row r="217" spans="2:43" x14ac:dyDescent="0.25">
      <c r="B217"/>
      <c r="E217" t="s">
        <v>848</v>
      </c>
      <c r="F217" t="s">
        <v>101</v>
      </c>
      <c r="G217"/>
      <c r="H217" cm="1">
        <f t="array" aca="1" ref="H217" ca="1">'Electricity Usage'!$S25*VLOOKUP(_xlfn.TEXTAFTER(CELL("filename",$A$1),"]"),ElectricityPortionsByPathwayTable[],2,FALSE)</f>
        <v>0</v>
      </c>
      <c r="I217" t="s">
        <v>415</v>
      </c>
      <c r="X217" s="94"/>
      <c r="Y217" s="94"/>
      <c r="Z217" s="94"/>
      <c r="AA217" s="94"/>
      <c r="AB217" s="94"/>
      <c r="AC217" s="94"/>
      <c r="AD217" s="94"/>
      <c r="AE217" s="94"/>
      <c r="AF217" s="94"/>
      <c r="AG217" s="94"/>
      <c r="AH217" s="94"/>
      <c r="AI217" s="94"/>
      <c r="AJ217" s="94"/>
      <c r="AK217" s="94"/>
      <c r="AL217" s="94"/>
      <c r="AM217" s="94"/>
      <c r="AN217" s="94"/>
      <c r="AO217" s="94"/>
      <c r="AP217" s="94"/>
      <c r="AQ217" s="94"/>
    </row>
    <row r="218" spans="2:43" s="70" customFormat="1" x14ac:dyDescent="0.25">
      <c r="B218"/>
      <c r="E218" t="s">
        <v>848</v>
      </c>
      <c r="F218" t="s">
        <v>418</v>
      </c>
      <c r="G218"/>
      <c r="H218" cm="1">
        <f t="array" aca="1" ref="H218" ca="1">overall_residualElectricity*VLOOKUP(_xlfn.TEXTAFTER(CELL("filename",A23),"]"),ElectricityPortionsByPathwayTable[],2,FALSE)</f>
        <v>0</v>
      </c>
      <c r="I218" t="s">
        <v>415</v>
      </c>
      <c r="X218" s="94"/>
      <c r="Y218" s="94"/>
      <c r="Z218" s="94"/>
      <c r="AA218" s="94"/>
      <c r="AB218" s="94"/>
      <c r="AC218" s="94"/>
      <c r="AD218" s="94"/>
      <c r="AE218" s="94"/>
      <c r="AF218" s="94"/>
      <c r="AG218" s="94"/>
      <c r="AH218" s="94"/>
      <c r="AI218" s="94"/>
      <c r="AJ218" s="94"/>
      <c r="AK218" s="94"/>
      <c r="AL218" s="94"/>
      <c r="AM218" s="94"/>
      <c r="AN218" s="94"/>
      <c r="AO218" s="94"/>
      <c r="AP218" s="94"/>
      <c r="AQ218" s="94"/>
    </row>
    <row r="219" spans="2:43" x14ac:dyDescent="0.25">
      <c r="B219"/>
      <c r="E219" t="s">
        <v>848</v>
      </c>
      <c r="F219" t="s">
        <v>419</v>
      </c>
      <c r="G219"/>
      <c r="H219">
        <f>overall_MarketEF</f>
        <v>0.95499999999999996</v>
      </c>
      <c r="I219" t="s">
        <v>824</v>
      </c>
      <c r="Y219" s="70"/>
      <c r="Z219" s="70"/>
      <c r="AA219" s="70"/>
      <c r="AB219" s="70"/>
      <c r="AC219" s="70"/>
      <c r="AD219" s="70"/>
      <c r="AE219" s="70"/>
      <c r="AF219" s="70"/>
      <c r="AG219" s="70"/>
      <c r="AH219" s="70"/>
      <c r="AI219" s="70"/>
      <c r="AJ219" s="70"/>
      <c r="AK219" s="70"/>
      <c r="AL219" s="70"/>
      <c r="AM219" s="70"/>
      <c r="AN219" s="70"/>
      <c r="AO219" s="70"/>
      <c r="AP219" s="70"/>
      <c r="AQ219" s="70"/>
    </row>
    <row r="220" spans="2:43" x14ac:dyDescent="0.25">
      <c r="B220"/>
      <c r="E220" t="s">
        <v>848</v>
      </c>
      <c r="F220" t="s">
        <v>420</v>
      </c>
      <c r="G220"/>
      <c r="H220" cm="1">
        <f t="array" aca="1" ref="H220" ca="1">overall_totalOnsiteElecGen*VLOOKUP(_xlfn.TEXTAFTER(CELL("filename",$A$1),"]"),ElectricityPortionsByPathwayTable[],2,FALSE)</f>
        <v>0</v>
      </c>
      <c r="I220" t="s">
        <v>415</v>
      </c>
    </row>
    <row r="221" spans="2:43" x14ac:dyDescent="0.25">
      <c r="B221"/>
      <c r="E221" t="s">
        <v>848</v>
      </c>
      <c r="F221" t="s">
        <v>421</v>
      </c>
      <c r="G221"/>
      <c r="H221" t="e">
        <f>overall_onsiteGenEF</f>
        <v>#DIV/0!</v>
      </c>
      <c r="I221" t="s">
        <v>825</v>
      </c>
    </row>
    <row r="222" spans="2:43" x14ac:dyDescent="0.25">
      <c r="B222"/>
      <c r="C222"/>
      <c r="D222"/>
      <c r="E222" t="s">
        <v>848</v>
      </c>
      <c r="F222" t="s">
        <v>434</v>
      </c>
      <c r="G222">
        <f>'Electricity Usage'!$E$51</f>
        <v>0</v>
      </c>
      <c r="H222" t="str" cm="1">
        <f t="array" aca="1" ref="H222" ca="1">IF(_xlfn.ANCHORARRAY(G222)&lt;&gt;0,overall_CHPFuelElecAllocation*VLOOKUP(_xlfn.TEXTAFTER(CELL("filename",$A$1),"]"),ElectricityPortionsByPathwayTable[],3,FALSE) + overall_CHPFuelSteamAllocation *VLOOKUP(_xlfn.TEXTAFTER(CELL("filename",$A$1),"]"),ElectricityPortionsByPathwayTable[],4,FALSE),"")</f>
        <v/>
      </c>
      <c r="I222" t="str" cm="1">
        <f t="array" ref="I222">IF(_xlfn.ANCHORARRAY(G222)&lt;&gt;0,('Electricity Usage'!$S$51)*'Electricity Usage'!$T$51/1000,"")</f>
        <v/>
      </c>
    </row>
    <row r="223" spans="2:43" x14ac:dyDescent="0.25">
      <c r="B223"/>
      <c r="C223"/>
      <c r="D223"/>
      <c r="E223" t="s">
        <v>848</v>
      </c>
      <c r="F223" t="s">
        <v>435</v>
      </c>
      <c r="G223">
        <f>'Electricity Usage'!$E$38</f>
        <v>0</v>
      </c>
      <c r="H223" t="str" cm="1">
        <f t="array" aca="1" ref="H223" ca="1">IF(_xlfn.ANCHORARRAY(G223)&lt;&gt;0,overall_otherOnsiteElecGenViaCombustionFuelAmount*VLOOKUP(_xlfn.TEXTAFTER(CELL("filename",$A$1),"]"),ElectricityPortionsByPathwayTable[],3,FALSE),"")</f>
        <v/>
      </c>
      <c r="I223" t="str" cm="1">
        <f t="array" ref="I223">IF(_xlfn.ANCHORARRAY(G223)&lt;&gt;0,('Electricity Usage'!$S$38)*'Electricity Usage'!$T$38/1000,"")</f>
        <v/>
      </c>
    </row>
    <row r="224" spans="2:43" x14ac:dyDescent="0.25">
      <c r="B224"/>
      <c r="C224"/>
      <c r="D224"/>
      <c r="E224" t="s">
        <v>848</v>
      </c>
      <c r="F224" t="s">
        <v>436</v>
      </c>
      <c r="G224">
        <f>F87</f>
        <v>0</v>
      </c>
      <c r="H224" s="227" t="e">
        <f>AB87*1000</f>
        <v>#N/A</v>
      </c>
      <c r="I224" t="e">
        <f>(Y87)*Z87/1000</f>
        <v>#VALUE!</v>
      </c>
      <c r="Z224" s="92"/>
      <c r="AA224" s="92"/>
    </row>
    <row r="225" spans="2:43" x14ac:dyDescent="0.25">
      <c r="B225"/>
      <c r="C225"/>
      <c r="D225"/>
      <c r="E225" t="s">
        <v>848</v>
      </c>
      <c r="F225" t="s">
        <v>437</v>
      </c>
      <c r="G225">
        <f>F88</f>
        <v>0</v>
      </c>
      <c r="H225" s="227" t="e">
        <f>AB88*1000</f>
        <v>#N/A</v>
      </c>
      <c r="I225" t="e">
        <f>(Y88)*Z88/1000</f>
        <v>#VALUE!</v>
      </c>
      <c r="Y225" s="70"/>
      <c r="Z225" s="70"/>
      <c r="AA225" s="70"/>
      <c r="AB225" s="70"/>
      <c r="AC225" s="70"/>
      <c r="AD225" s="70"/>
      <c r="AE225" s="70"/>
      <c r="AF225" s="70"/>
      <c r="AG225" s="70"/>
      <c r="AH225" s="70"/>
      <c r="AI225" s="70"/>
      <c r="AJ225" s="70"/>
      <c r="AK225" s="70"/>
      <c r="AL225" s="70"/>
      <c r="AM225" s="70"/>
      <c r="AN225" s="70"/>
      <c r="AO225" s="70"/>
      <c r="AP225" s="70"/>
      <c r="AQ225" s="70"/>
    </row>
    <row r="226" spans="2:43" x14ac:dyDescent="0.25">
      <c r="B226"/>
      <c r="C226"/>
      <c r="D226"/>
      <c r="E226" t="s">
        <v>848</v>
      </c>
      <c r="F226" t="s">
        <v>438</v>
      </c>
      <c r="G226">
        <f>F89</f>
        <v>0</v>
      </c>
      <c r="H226" s="227" t="e">
        <f>AB89*1000</f>
        <v>#N/A</v>
      </c>
      <c r="I226" t="e">
        <f>(Y89)*Z89/1000</f>
        <v>#VALUE!</v>
      </c>
    </row>
    <row r="227" spans="2:43" x14ac:dyDescent="0.25">
      <c r="B227"/>
      <c r="C227"/>
      <c r="D227"/>
      <c r="E227" t="s">
        <v>848</v>
      </c>
      <c r="F227" t="s">
        <v>439</v>
      </c>
      <c r="G227">
        <f>F90</f>
        <v>0</v>
      </c>
      <c r="H227" s="227" t="e">
        <f>AB90*1000</f>
        <v>#N/A</v>
      </c>
      <c r="I227" t="e">
        <f>(Y90)*Z90/1000</f>
        <v>#VALUE!</v>
      </c>
    </row>
    <row r="228" spans="2:43" x14ac:dyDescent="0.25">
      <c r="B228"/>
      <c r="C228"/>
      <c r="D228"/>
      <c r="E228" t="s">
        <v>848</v>
      </c>
      <c r="F228" t="s">
        <v>440</v>
      </c>
      <c r="G228">
        <f>F91</f>
        <v>0</v>
      </c>
      <c r="H228" s="227" t="e">
        <f>AB91*1000</f>
        <v>#N/A</v>
      </c>
      <c r="I228" t="e">
        <f>(Y91)*Z91/1000</f>
        <v>#VALUE!</v>
      </c>
      <c r="Y228" s="92"/>
    </row>
    <row r="229" spans="2:43" x14ac:dyDescent="0.25">
      <c r="B229"/>
      <c r="C229"/>
      <c r="D229"/>
      <c r="E229" t="s">
        <v>848</v>
      </c>
      <c r="F229" t="s">
        <v>826</v>
      </c>
      <c r="G229"/>
      <c r="H229" t="e">
        <f>AA14</f>
        <v>#N/A</v>
      </c>
      <c r="I229" t="s">
        <v>827</v>
      </c>
      <c r="Y229" s="1876"/>
      <c r="Z229" s="1876"/>
      <c r="AB229" s="92"/>
    </row>
    <row r="230" spans="2:43" s="70" customFormat="1" x14ac:dyDescent="0.25">
      <c r="B230"/>
      <c r="C230"/>
      <c r="D230"/>
      <c r="E230" t="s">
        <v>848</v>
      </c>
      <c r="F230" t="s">
        <v>461</v>
      </c>
      <c r="G230"/>
      <c r="H230">
        <f>SUMIF(AA128:AA130,"&gt;0")+SUMIF(Y60,"&lt;&gt;#N/A")</f>
        <v>0</v>
      </c>
      <c r="I230" t="s">
        <v>90</v>
      </c>
      <c r="Y230" s="1876"/>
      <c r="Z230" s="1876"/>
      <c r="AA230" s="43"/>
      <c r="AB230" s="43"/>
      <c r="AC230" s="43"/>
      <c r="AD230" s="43"/>
      <c r="AE230" s="43"/>
      <c r="AF230" s="43"/>
      <c r="AG230" s="43"/>
      <c r="AH230" s="43"/>
      <c r="AI230" s="43"/>
      <c r="AJ230" s="43"/>
      <c r="AK230" s="43"/>
      <c r="AL230" s="43"/>
      <c r="AM230" s="43"/>
      <c r="AN230" s="43"/>
      <c r="AO230" s="43"/>
      <c r="AP230" s="43"/>
      <c r="AQ230" s="43"/>
    </row>
    <row r="231" spans="2:43" x14ac:dyDescent="0.25">
      <c r="B231"/>
      <c r="C231"/>
      <c r="D231"/>
      <c r="E231" t="s">
        <v>848</v>
      </c>
      <c r="F231" t="s">
        <v>462</v>
      </c>
      <c r="G231"/>
      <c r="H231">
        <f>SUMIF(Z128:Z130,"&gt;0")</f>
        <v>0</v>
      </c>
      <c r="I231" t="s">
        <v>90</v>
      </c>
    </row>
    <row r="232" spans="2:43" x14ac:dyDescent="0.25">
      <c r="B232"/>
      <c r="C232"/>
      <c r="D232"/>
      <c r="E232" t="s">
        <v>848</v>
      </c>
      <c r="F232" t="s">
        <v>463</v>
      </c>
      <c r="G232"/>
      <c r="H232">
        <f>Y121</f>
        <v>0</v>
      </c>
      <c r="I232" t="s">
        <v>415</v>
      </c>
    </row>
    <row r="233" spans="2:43" x14ac:dyDescent="0.25">
      <c r="B233"/>
      <c r="C233"/>
      <c r="D233"/>
      <c r="E233" t="s">
        <v>848</v>
      </c>
      <c r="F233" t="s">
        <v>828</v>
      </c>
      <c r="G233"/>
      <c r="H233">
        <f>O121</f>
        <v>0</v>
      </c>
      <c r="I233" t="s">
        <v>730</v>
      </c>
    </row>
    <row r="234" spans="2:43" x14ac:dyDescent="0.25">
      <c r="B234"/>
      <c r="C234"/>
      <c r="D234"/>
      <c r="E234" t="s">
        <v>848</v>
      </c>
      <c r="F234" t="s">
        <v>829</v>
      </c>
      <c r="G234"/>
      <c r="H234">
        <f>O131</f>
        <v>0</v>
      </c>
      <c r="I234" t="s">
        <v>730</v>
      </c>
    </row>
    <row r="235" spans="2:43" x14ac:dyDescent="0.25">
      <c r="B235"/>
      <c r="C235"/>
      <c r="D235"/>
      <c r="E235" t="s">
        <v>848</v>
      </c>
      <c r="F235" t="s">
        <v>469</v>
      </c>
      <c r="G235"/>
      <c r="H235" t="e">
        <f>AG138</f>
        <v>#N/A</v>
      </c>
      <c r="I235" t="s">
        <v>90</v>
      </c>
    </row>
    <row r="236" spans="2:43" s="70" customFormat="1" x14ac:dyDescent="0.25">
      <c r="B236"/>
      <c r="C236"/>
      <c r="D236"/>
      <c r="E236" t="s">
        <v>848</v>
      </c>
      <c r="F236" t="s">
        <v>474</v>
      </c>
      <c r="G236"/>
      <c r="H236" t="e">
        <f>AF138</f>
        <v>#N/A</v>
      </c>
      <c r="I236" t="s">
        <v>90</v>
      </c>
      <c r="Y236" s="43"/>
      <c r="Z236" s="43"/>
      <c r="AA236" s="43"/>
      <c r="AB236" s="43"/>
      <c r="AC236" s="43"/>
      <c r="AD236" s="43"/>
      <c r="AE236" s="43"/>
      <c r="AF236" s="43"/>
      <c r="AG236" s="43"/>
      <c r="AH236" s="43"/>
      <c r="AI236" s="43"/>
      <c r="AJ236" s="43"/>
      <c r="AK236" s="43"/>
      <c r="AL236" s="43"/>
      <c r="AM236" s="43"/>
      <c r="AN236" s="43"/>
      <c r="AO236" s="43"/>
      <c r="AP236" s="43"/>
      <c r="AQ236" s="43"/>
    </row>
    <row r="237" spans="2:43" x14ac:dyDescent="0.25">
      <c r="B237"/>
      <c r="C237"/>
      <c r="D237"/>
      <c r="E237" t="s">
        <v>848</v>
      </c>
      <c r="F237" t="s">
        <v>830</v>
      </c>
      <c r="G237"/>
      <c r="H237">
        <f>O138</f>
        <v>0</v>
      </c>
      <c r="I237" t="s">
        <v>730</v>
      </c>
    </row>
    <row r="238" spans="2:43" x14ac:dyDescent="0.25">
      <c r="B238"/>
      <c r="C238"/>
      <c r="D238"/>
      <c r="E238" t="s">
        <v>848</v>
      </c>
      <c r="F238" t="s">
        <v>831</v>
      </c>
      <c r="G238"/>
      <c r="H238" t="e">
        <f>AG139</f>
        <v>#N/A</v>
      </c>
      <c r="I238" t="s">
        <v>90</v>
      </c>
    </row>
    <row r="239" spans="2:43" x14ac:dyDescent="0.25">
      <c r="B239"/>
      <c r="C239"/>
      <c r="D239"/>
      <c r="E239" t="s">
        <v>848</v>
      </c>
      <c r="F239" t="s">
        <v>832</v>
      </c>
      <c r="G239"/>
      <c r="H239" t="e">
        <f>AF139</f>
        <v>#N/A</v>
      </c>
      <c r="I239" t="s">
        <v>90</v>
      </c>
    </row>
    <row r="240" spans="2:43" x14ac:dyDescent="0.25">
      <c r="B240"/>
      <c r="C240"/>
      <c r="D240"/>
      <c r="E240" t="s">
        <v>848</v>
      </c>
      <c r="F240" t="s">
        <v>833</v>
      </c>
      <c r="G240"/>
      <c r="H240">
        <f>O139</f>
        <v>0</v>
      </c>
      <c r="I240" t="s">
        <v>730</v>
      </c>
    </row>
    <row r="241" spans="2:9" x14ac:dyDescent="0.25">
      <c r="B241"/>
      <c r="C241"/>
      <c r="D241"/>
      <c r="E241" t="s">
        <v>848</v>
      </c>
      <c r="F241" t="s">
        <v>423</v>
      </c>
      <c r="G241">
        <f>E33</f>
        <v>0</v>
      </c>
      <c r="H241" t="e">
        <f>AB33</f>
        <v>#N/A</v>
      </c>
      <c r="I241" s="705" t="e">
        <f>O33/AB33</f>
        <v>#N/A</v>
      </c>
    </row>
    <row r="242" spans="2:9" x14ac:dyDescent="0.25">
      <c r="B242"/>
      <c r="C242"/>
      <c r="D242"/>
      <c r="E242" t="s">
        <v>848</v>
      </c>
      <c r="F242" t="s">
        <v>424</v>
      </c>
      <c r="G242">
        <f>E34</f>
        <v>0</v>
      </c>
      <c r="H242" t="e">
        <f>AB34</f>
        <v>#N/A</v>
      </c>
      <c r="I242" s="704" t="e">
        <f>O34/AB34</f>
        <v>#N/A</v>
      </c>
    </row>
    <row r="243" spans="2:9" x14ac:dyDescent="0.25">
      <c r="B243"/>
      <c r="C243"/>
      <c r="D243"/>
      <c r="E243" t="s">
        <v>848</v>
      </c>
      <c r="F243" t="s">
        <v>425</v>
      </c>
      <c r="G243">
        <f>E35</f>
        <v>0</v>
      </c>
      <c r="H243" t="e">
        <f>AB35</f>
        <v>#N/A</v>
      </c>
      <c r="I243" s="705" t="e">
        <f>O35/AB35</f>
        <v>#N/A</v>
      </c>
    </row>
    <row r="244" spans="2:9" x14ac:dyDescent="0.25">
      <c r="B244"/>
      <c r="C244"/>
      <c r="D244"/>
      <c r="E244" t="s">
        <v>848</v>
      </c>
      <c r="F244" t="s">
        <v>426</v>
      </c>
      <c r="G244">
        <f>E42</f>
        <v>0</v>
      </c>
      <c r="H244">
        <f>VLOOKUP("m3",Table13[],2,FALSE)</f>
        <v>1000</v>
      </c>
      <c r="I244" s="704" t="e">
        <f>O42/(AB42*VLOOKUP("m3",Table13[],2,FALSE))</f>
        <v>#N/A</v>
      </c>
    </row>
    <row r="245" spans="2:9" x14ac:dyDescent="0.25">
      <c r="B245"/>
      <c r="C245"/>
      <c r="D245"/>
      <c r="E245" t="s">
        <v>848</v>
      </c>
      <c r="F245" t="s">
        <v>428</v>
      </c>
      <c r="G245">
        <f>E68</f>
        <v>0</v>
      </c>
      <c r="H245" s="227" t="e">
        <f>Y68</f>
        <v>#N/A</v>
      </c>
      <c r="I245" s="839" t="e">
        <f>AD68</f>
        <v>#N/A</v>
      </c>
    </row>
    <row r="246" spans="2:9" x14ac:dyDescent="0.25">
      <c r="B246"/>
      <c r="C246"/>
      <c r="D246"/>
      <c r="E246" t="s">
        <v>848</v>
      </c>
      <c r="F246" t="s">
        <v>429</v>
      </c>
      <c r="G246">
        <f>E69</f>
        <v>0</v>
      </c>
      <c r="H246" t="e">
        <f>Y69</f>
        <v>#N/A</v>
      </c>
      <c r="I246" s="704" t="e">
        <f>AD69</f>
        <v>#N/A</v>
      </c>
    </row>
    <row r="247" spans="2:9" x14ac:dyDescent="0.25">
      <c r="B247"/>
      <c r="C247"/>
      <c r="D247"/>
      <c r="E247" t="s">
        <v>848</v>
      </c>
      <c r="F247" t="s">
        <v>430</v>
      </c>
      <c r="G247">
        <f>E70</f>
        <v>0</v>
      </c>
      <c r="H247" t="e">
        <f>Y70</f>
        <v>#N/A</v>
      </c>
      <c r="I247" s="705" t="e">
        <f>AD70</f>
        <v>#N/A</v>
      </c>
    </row>
    <row r="248" spans="2:9" x14ac:dyDescent="0.25">
      <c r="B248"/>
      <c r="C248"/>
      <c r="D248"/>
      <c r="E248" t="s">
        <v>848</v>
      </c>
      <c r="F248" t="s">
        <v>431</v>
      </c>
      <c r="G248"/>
      <c r="H248" t="e">
        <f>Z128</f>
        <v>#N/A</v>
      </c>
      <c r="I248" s="704" t="e">
        <f>Y128</f>
        <v>#N/A</v>
      </c>
    </row>
    <row r="249" spans="2:9" x14ac:dyDescent="0.25">
      <c r="B249"/>
      <c r="C249"/>
      <c r="D249"/>
      <c r="E249" t="s">
        <v>848</v>
      </c>
      <c r="F249" t="s">
        <v>432</v>
      </c>
      <c r="G249"/>
      <c r="H249" t="e">
        <f>Z129</f>
        <v>#N/A</v>
      </c>
      <c r="I249" s="705" t="e">
        <f>Y129</f>
        <v>#N/A</v>
      </c>
    </row>
    <row r="250" spans="2:9" x14ac:dyDescent="0.25">
      <c r="B250"/>
      <c r="C250"/>
      <c r="D250"/>
      <c r="E250" t="s">
        <v>848</v>
      </c>
      <c r="F250" t="s">
        <v>433</v>
      </c>
      <c r="G250"/>
      <c r="H250" t="e">
        <f>Z130</f>
        <v>#N/A</v>
      </c>
      <c r="I250" s="704" t="e">
        <f>Y130</f>
        <v>#N/A</v>
      </c>
    </row>
    <row r="251" spans="2:9" x14ac:dyDescent="0.25">
      <c r="B251"/>
      <c r="C251"/>
      <c r="D251"/>
      <c r="E251" t="s">
        <v>848</v>
      </c>
      <c r="F251" t="s">
        <v>407</v>
      </c>
      <c r="G251"/>
      <c r="H251" t="s">
        <v>369</v>
      </c>
      <c r="I251"/>
    </row>
    <row r="252" spans="2:9" x14ac:dyDescent="0.25">
      <c r="B252"/>
      <c r="C252"/>
      <c r="D252"/>
      <c r="E252" t="s">
        <v>848</v>
      </c>
      <c r="F252" t="s">
        <v>834</v>
      </c>
      <c r="G252"/>
      <c r="H252" t="s">
        <v>369</v>
      </c>
      <c r="I252"/>
    </row>
    <row r="253" spans="2:9" x14ac:dyDescent="0.25">
      <c r="B253"/>
      <c r="C253"/>
      <c r="D253"/>
      <c r="E253" t="s">
        <v>848</v>
      </c>
      <c r="F253" t="s">
        <v>835</v>
      </c>
      <c r="G253"/>
      <c r="H253" t="s">
        <v>369</v>
      </c>
      <c r="I253"/>
    </row>
    <row r="254" spans="2:9" x14ac:dyDescent="0.25">
      <c r="B254"/>
      <c r="C254"/>
      <c r="D254"/>
      <c r="E254" t="s">
        <v>848</v>
      </c>
      <c r="F254" t="s">
        <v>836</v>
      </c>
      <c r="G254"/>
      <c r="H254" t="s">
        <v>369</v>
      </c>
      <c r="I254"/>
    </row>
    <row r="255" spans="2:9" x14ac:dyDescent="0.25">
      <c r="B255"/>
      <c r="C255"/>
      <c r="D255"/>
      <c r="E255"/>
      <c r="F255"/>
      <c r="G255"/>
      <c r="H255"/>
      <c r="I255"/>
    </row>
    <row r="256" spans="2:9" x14ac:dyDescent="0.25">
      <c r="B256"/>
      <c r="C256"/>
      <c r="D256"/>
      <c r="E256"/>
      <c r="F256"/>
      <c r="G256"/>
      <c r="H256"/>
      <c r="I256"/>
    </row>
    <row r="257" spans="2:9" x14ac:dyDescent="0.25">
      <c r="B257"/>
      <c r="C257"/>
      <c r="D257"/>
      <c r="E257" s="856" t="s">
        <v>479</v>
      </c>
      <c r="F257" s="856" t="s">
        <v>575</v>
      </c>
      <c r="G257" s="856" t="s">
        <v>481</v>
      </c>
      <c r="H257" s="856" t="s">
        <v>482</v>
      </c>
      <c r="I257" s="856" t="s">
        <v>483</v>
      </c>
    </row>
    <row r="258" spans="2:9" x14ac:dyDescent="0.25">
      <c r="B258"/>
      <c r="C258"/>
      <c r="D258"/>
      <c r="E258" t="str">
        <f>'Hidden Lists and Summaries'!$B$5</f>
        <v>Embodied (Upstream)</v>
      </c>
      <c r="F258" t="s">
        <v>837</v>
      </c>
      <c r="G258" t="e">
        <f t="shared" ref="G258:G267" si="9">H258/liqHydrogen_quantityProduced_tonnes</f>
        <v>#N/A</v>
      </c>
      <c r="H258" s="227">
        <f>SUMIFS($AH$36:$AH$115,$AL$36:$AL$115,F258)+SUMIFS($AI$36:$AI$115,$AM$36:$AM$115,F258) + IF(liqHydrogen_integratedFacility="No",AB14,0)</f>
        <v>0</v>
      </c>
      <c r="I258" t="s">
        <v>484</v>
      </c>
    </row>
    <row r="259" spans="2:9" x14ac:dyDescent="0.25">
      <c r="B259"/>
      <c r="C259"/>
      <c r="D259"/>
      <c r="E259" t="str">
        <f>'Hidden Lists and Summaries'!$B$5</f>
        <v>Embodied (Upstream)</v>
      </c>
      <c r="F259" t="s">
        <v>214</v>
      </c>
      <c r="G259" t="e">
        <f t="shared" ca="1" si="9"/>
        <v>#N/A</v>
      </c>
      <c r="H259" s="227">
        <f ca="1">SUMIFS($AH$36:$AH$115,$AL$36:$AL$115,F259)+SUMIFS($AI$36:$AI$115,$AM$36:$AM$115,F259) + IF(liqHydrogen_integratedFacility="Yes", VLOOKUP(HydrogenLiquefactionEmissionsBreakdown[[#This Row],[Breakdown Sub category]],_xlfn.CHOOSECOLS(INDIRECT($K$166),2,4),2,FALSE), 0)</f>
        <v>0</v>
      </c>
      <c r="I259" t="s">
        <v>484</v>
      </c>
    </row>
    <row r="260" spans="2:9" x14ac:dyDescent="0.25">
      <c r="B260"/>
      <c r="C260"/>
      <c r="D260"/>
      <c r="E260" t="str">
        <f>'Hidden Lists and Summaries'!$B$5</f>
        <v>Embodied (Upstream)</v>
      </c>
      <c r="F260" t="s">
        <v>243</v>
      </c>
      <c r="G260" t="e">
        <f t="shared" ca="1" si="9"/>
        <v>#N/A</v>
      </c>
      <c r="H260" s="227">
        <f ca="1">SUMIFS($AH$36:$AH$115,$AL$36:$AL$115,F260)+SUMIFS($AI$36:$AI$115,$AM$36:$AM$115,F260) + IF(liqHydrogen_integratedFacility="Yes", VLOOKUP(HydrogenLiquefactionEmissionsBreakdown[[#This Row],[Breakdown Sub category]],_xlfn.CHOOSECOLS(INDIRECT($K$166),2,4),2,FALSE), 0)</f>
        <v>0</v>
      </c>
      <c r="I260" t="s">
        <v>484</v>
      </c>
    </row>
    <row r="261" spans="2:9" x14ac:dyDescent="0.25">
      <c r="B261"/>
      <c r="C261"/>
      <c r="D261"/>
      <c r="E261" t="str">
        <f>'Hidden Lists and Summaries'!$B$5</f>
        <v>Embodied (Upstream)</v>
      </c>
      <c r="F261" t="s">
        <v>286</v>
      </c>
      <c r="G261" t="e">
        <f t="shared" ca="1" si="9"/>
        <v>#N/A</v>
      </c>
      <c r="H261" s="227">
        <f ca="1">SUMIFS($AH$36:$AH$115,$AL$36:$AL$115,F261)+SUMIFS($AI$36:$AI$115,$AM$36:$AM$115,F261) + IF(liqHydrogen_integratedFacility="Yes", VLOOKUP(HydrogenLiquefactionEmissionsBreakdown[[#This Row],[Breakdown Sub category]],_xlfn.CHOOSECOLS(INDIRECT($K$166),2,4),2,FALSE), 0)</f>
        <v>0</v>
      </c>
      <c r="I261" t="s">
        <v>484</v>
      </c>
    </row>
    <row r="262" spans="2:9" x14ac:dyDescent="0.25">
      <c r="B262"/>
      <c r="C262"/>
      <c r="D262"/>
      <c r="E262" t="str">
        <f>'Hidden Lists and Summaries'!$B$5</f>
        <v>Embodied (Upstream)</v>
      </c>
      <c r="F262" t="s">
        <v>486</v>
      </c>
      <c r="G262" t="e">
        <f t="shared" ca="1" si="9"/>
        <v>#N/A</v>
      </c>
      <c r="H262" s="227">
        <f ca="1">SUMIFS($AH$36:$AH$115,$AL$36:$AL$115,F262)+SUMIFS($AI$36:$AI$115,$AM$36:$AM$115,F262) + IF(liqHydrogen_integratedFacility="Yes", VLOOKUP(HydrogenLiquefactionEmissionsBreakdown[[#This Row],[Breakdown Sub category]],_xlfn.CHOOSECOLS(INDIRECT($K$166),2,4),2,FALSE), 0)</f>
        <v>0</v>
      </c>
      <c r="I262"/>
    </row>
    <row r="263" spans="2:9" x14ac:dyDescent="0.25">
      <c r="B263"/>
      <c r="C263"/>
      <c r="D263"/>
      <c r="E263" t="s">
        <v>505</v>
      </c>
      <c r="F263"/>
      <c r="G263" t="e">
        <f ca="1">H263/liqHydrogen_quantityProduced_tonnes</f>
        <v>#N/A</v>
      </c>
      <c r="H263" s="227">
        <f ca="1">SUMIFS($AH$36:$AH$115,$AJ$36:$AJ$115,E263)+SUMIFS($AI$36:$AI$115,$AK$36:$AK$115,E263) +  IF(liqHydrogen_integratedFacility="Yes", VLOOKUP(HydrogenLiquefactionEmissionsBreakdown[[#This Row],[Major category]],_xlfn.CHOOSECOLS(INDIRECT($K$166),1,4),2,FALSE), 0)</f>
        <v>0</v>
      </c>
      <c r="I263" t="s">
        <v>487</v>
      </c>
    </row>
    <row r="264" spans="2:9" x14ac:dyDescent="0.25">
      <c r="B264"/>
      <c r="C264"/>
      <c r="D264"/>
      <c r="E264" t="str">
        <f>'Hidden Lists and Summaries'!B7</f>
        <v>Electricity Supply</v>
      </c>
      <c r="F264"/>
      <c r="G264" t="e">
        <f t="shared" ca="1" si="9"/>
        <v>#N/A</v>
      </c>
      <c r="H264" s="227">
        <f ca="1">SUMIFS($AH$36:$AH$115,$AJ$36:$AJ$115,E264)+SUMIFS($AI$36:$AI$115,$AK$36:$AK$115,E264) + IF(liqHydrogen_integratedFacility="Yes", VLOOKUP(HydrogenLiquefactionEmissionsBreakdown[[#This Row],[Major category]],_xlfn.CHOOSECOLS(INDIRECT($K$166),1,4),2,FALSE), 0)</f>
        <v>0</v>
      </c>
      <c r="I264" t="s">
        <v>487</v>
      </c>
    </row>
    <row r="265" spans="2:9" x14ac:dyDescent="0.25">
      <c r="B265"/>
      <c r="C265"/>
      <c r="D265"/>
      <c r="E265" t="str">
        <f>'Hidden Lists and Summaries'!B8</f>
        <v>Fuel Combustion</v>
      </c>
      <c r="F265"/>
      <c r="G265" t="e">
        <f t="shared" ca="1" si="9"/>
        <v>#N/A</v>
      </c>
      <c r="H265" s="227">
        <f ca="1">SUMIFS($AH$36:$AH$115,$AJ$36:$AJ$115,E265)+SUMIFS($AI$36:$AI$115,$AK$36:$AK$115,E265) + IF(liqHydrogen_integratedFacility="Yes", VLOOKUP(HydrogenLiquefactionEmissionsBreakdown[[#This Row],[Major category]],_xlfn.CHOOSECOLS(INDIRECT($K$166),1,4),2,FALSE), 0)</f>
        <v>0</v>
      </c>
      <c r="I265" t="s">
        <v>487</v>
      </c>
    </row>
    <row r="266" spans="2:9" x14ac:dyDescent="0.25">
      <c r="B266"/>
      <c r="C266"/>
      <c r="D266"/>
      <c r="E266" t="str">
        <f>'Hidden Lists and Summaries'!B9</f>
        <v>Industrial Process</v>
      </c>
      <c r="F266"/>
      <c r="G266" t="e">
        <f t="shared" ca="1" si="9"/>
        <v>#N/A</v>
      </c>
      <c r="H266" s="227">
        <f ca="1">SUMIFS($AH$36:$AH$115,$AJ$36:$AJ$115,E266)+SUMIFS($AI$36:$AI$115,$AK$36:$AK$115,E266) + IF(liqHydrogen_integratedFacility="Yes", VLOOKUP(HydrogenLiquefactionEmissionsBreakdown[[#This Row],[Major category]],_xlfn.CHOOSECOLS(INDIRECT($K$166),1,4),2,FALSE), 0)</f>
        <v>0</v>
      </c>
      <c r="I266" t="s">
        <v>487</v>
      </c>
    </row>
    <row r="267" spans="2:9" x14ac:dyDescent="0.25">
      <c r="B267"/>
      <c r="C267"/>
      <c r="D267"/>
      <c r="E267" t="str">
        <f>'Hidden Lists and Summaries'!B10</f>
        <v>Accrued</v>
      </c>
      <c r="F267"/>
      <c r="G267" t="e">
        <f t="shared" ca="1" si="9"/>
        <v>#N/A</v>
      </c>
      <c r="H267" s="227">
        <f ca="1">SUMIFS($AH$36:$AH$115,$AJ$36:$AJ$115,E267)+SUMIFS($AI$36:$AI$115,$AK$36:$AK$115,E267) + IF(liqHydrogen_integratedFacility="Yes", VLOOKUP(HydrogenLiquefactionEmissionsBreakdown[[#This Row],[Major category]],_xlfn.CHOOSECOLS(INDIRECT($K$166),1,4),2,FALSE), 0)</f>
        <v>0</v>
      </c>
      <c r="I267" t="s">
        <v>487</v>
      </c>
    </row>
    <row r="268" spans="2:9" x14ac:dyDescent="0.25">
      <c r="B268"/>
      <c r="C268"/>
      <c r="D268"/>
      <c r="E268" t="s">
        <v>488</v>
      </c>
      <c r="F268"/>
      <c r="G268" t="e">
        <f t="shared" ref="G268:G278" ca="1" si="10">H268/liqHydrogen_quantityProduced_tonnes</f>
        <v>#N/A</v>
      </c>
      <c r="H268" s="227">
        <f ca="1">IF(liqHydrogen_integratedFacility="Yes",SUMIF(INDIRECT($K$166&amp;"[Major category]"),HydrogenLiquefactionEmissionsBreakdown[[#This Row],[Major category]],INDIRECT($K$166&amp;"[Emissions (kg CO2-e)]")),0) + IF(liqHydrogen_integratedFacility="Yes", VLOOKUP(HydrogenLiquefactionEmissionsBreakdown[[#This Row],[Major category]],_xlfn.CHOOSECOLS(INDIRECT($K$166),1,4),2,FALSE), 0)</f>
        <v>0</v>
      </c>
      <c r="I268" t="s">
        <v>487</v>
      </c>
    </row>
    <row r="269" spans="2:9" x14ac:dyDescent="0.25">
      <c r="B269"/>
      <c r="C269"/>
      <c r="D269"/>
      <c r="E269" t="s">
        <v>374</v>
      </c>
      <c r="G269" t="e">
        <f t="shared" ca="1" si="10"/>
        <v>#N/A</v>
      </c>
      <c r="H269" s="227">
        <f ca="1">O122 + IF(liqHydrogen_integratedFacility="Yes", VLOOKUP(HydrogenLiquefactionEmissionsBreakdown[[#This Row],[Major category]],_xlfn.CHOOSECOLS(INDIRECT($K$166),1,4),2,FALSE), 0)</f>
        <v>0</v>
      </c>
      <c r="I269" t="s">
        <v>489</v>
      </c>
    </row>
    <row r="270" spans="2:9" x14ac:dyDescent="0.25">
      <c r="B270"/>
      <c r="C270"/>
      <c r="D270"/>
      <c r="E270" t="s">
        <v>375</v>
      </c>
      <c r="G270" t="e">
        <f t="shared" ca="1" si="10"/>
        <v>#N/A</v>
      </c>
      <c r="H270" s="227">
        <f ca="1">O131 + IF(liqHydrogen_integratedFacility="Yes", VLOOKUP(HydrogenLiquefactionEmissionsBreakdown[[#This Row],[Major category]],_xlfn.CHOOSECOLS(INDIRECT($K$166),1,4),2,FALSE), 0)</f>
        <v>0</v>
      </c>
      <c r="I270" t="s">
        <v>489</v>
      </c>
    </row>
    <row r="271" spans="2:9" x14ac:dyDescent="0.25">
      <c r="B271"/>
      <c r="C271"/>
      <c r="D271"/>
      <c r="E271" t="s">
        <v>377</v>
      </c>
      <c r="G271" t="e">
        <f t="shared" ca="1" si="10"/>
        <v>#N/A</v>
      </c>
      <c r="H271" s="227">
        <f ca="1">O138 + IF(liqHydrogen_integratedFacility="Yes", VLOOKUP(HydrogenLiquefactionEmissionsBreakdown[[#This Row],[Major category]],_xlfn.CHOOSECOLS(INDIRECT($K$166),1,4),2,FALSE), 0)</f>
        <v>0</v>
      </c>
      <c r="I271" t="s">
        <v>489</v>
      </c>
    </row>
    <row r="272" spans="2:9" x14ac:dyDescent="0.25">
      <c r="B272"/>
      <c r="C272"/>
      <c r="D272"/>
      <c r="E272" t="s">
        <v>378</v>
      </c>
      <c r="G272" t="e">
        <f t="shared" ca="1" si="10"/>
        <v>#N/A</v>
      </c>
      <c r="H272" s="227">
        <f ca="1">O139 + IF(liqHydrogen_integratedFacility="Yes", VLOOKUP(HydrogenLiquefactionEmissionsBreakdown[[#This Row],[Major category]],_xlfn.CHOOSECOLS(INDIRECT($K$166),1,4),2,FALSE), 0)</f>
        <v>0</v>
      </c>
      <c r="I272" t="s">
        <v>489</v>
      </c>
    </row>
    <row r="273" spans="2:9" x14ac:dyDescent="0.25">
      <c r="B273"/>
      <c r="C273"/>
      <c r="D273"/>
      <c r="E273" t="s">
        <v>384</v>
      </c>
      <c r="F273"/>
      <c r="G273" t="e">
        <f t="shared" ca="1" si="10"/>
        <v>#N/A</v>
      </c>
      <c r="H273" s="227">
        <f ca="1">O156 + IF(liqHydrogen_integratedFacility="Yes", VLOOKUP(HydrogenLiquefactionEmissionsBreakdown[[#This Row],[Major category]],_xlfn.CHOOSECOLS(INDIRECT($K$166),1,4),2,FALSE), 0)</f>
        <v>0</v>
      </c>
      <c r="I273"/>
    </row>
    <row r="274" spans="2:9" x14ac:dyDescent="0.25">
      <c r="E274" t="s">
        <v>490</v>
      </c>
      <c r="G274" t="e">
        <f t="shared" ca="1" si="10"/>
        <v>#N/A</v>
      </c>
      <c r="H274" s="227">
        <f ca="1" xml:space="preserve"> IF(liqHydrogen_integratedFacility="Yes", VLOOKUP(HydrogenLiquefactionEmissionsBreakdown[[#This Row],[Major category]],_xlfn.CHOOSECOLS(INDIRECT($K$166),1,4),2,FALSE), 0)</f>
        <v>0</v>
      </c>
      <c r="I274"/>
    </row>
    <row r="275" spans="2:9" x14ac:dyDescent="0.25">
      <c r="E275" t="s">
        <v>379</v>
      </c>
      <c r="G275" t="e">
        <f t="shared" ca="1" si="10"/>
        <v>#N/A</v>
      </c>
      <c r="H275" s="227">
        <f ca="1" xml:space="preserve"> IF(liqHydrogen_integratedFacility="Yes", VLOOKUP(HydrogenLiquefactionEmissionsBreakdown[[#This Row],[Major category]],_xlfn.CHOOSECOLS(INDIRECT($K$166),1,4),2,FALSE), 0)</f>
        <v>0</v>
      </c>
      <c r="I275" t="s">
        <v>489</v>
      </c>
    </row>
    <row r="276" spans="2:9" x14ac:dyDescent="0.25">
      <c r="E276" t="s">
        <v>380</v>
      </c>
      <c r="G276" t="e">
        <f t="shared" ca="1" si="10"/>
        <v>#N/A</v>
      </c>
      <c r="H276" s="227">
        <f ca="1" xml:space="preserve"> IF(liqHydrogen_integratedFacility="Yes", VLOOKUP(HydrogenLiquefactionEmissionsBreakdown[[#This Row],[Major category]],_xlfn.CHOOSECOLS(INDIRECT($K$166),1,4),2,FALSE), 0)</f>
        <v>0</v>
      </c>
      <c r="I276"/>
    </row>
    <row r="277" spans="2:9" x14ac:dyDescent="0.25">
      <c r="E277" t="s">
        <v>381</v>
      </c>
      <c r="G277" t="e">
        <f t="shared" ca="1" si="10"/>
        <v>#N/A</v>
      </c>
      <c r="H277" s="227">
        <f ca="1" xml:space="preserve"> IF(liqHydrogen_integratedFacility="Yes", VLOOKUP(HydrogenLiquefactionEmissionsBreakdown[[#This Row],[Major category]],_xlfn.CHOOSECOLS(INDIRECT($K$166),1,4),2,FALSE), 0)</f>
        <v>0</v>
      </c>
      <c r="I277"/>
    </row>
    <row r="278" spans="2:9" x14ac:dyDescent="0.25">
      <c r="E278" t="s">
        <v>382</v>
      </c>
      <c r="G278" t="e">
        <f t="shared" ca="1" si="10"/>
        <v>#N/A</v>
      </c>
      <c r="H278" s="227">
        <f ca="1" xml:space="preserve"> IF(liqHydrogen_integratedFacility="Yes", VLOOKUP(HydrogenLiquefactionEmissionsBreakdown[[#This Row],[Major category]],_xlfn.CHOOSECOLS(INDIRECT($K$166),1,4),2,FALSE), 0)</f>
        <v>0</v>
      </c>
      <c r="I278" t="s">
        <v>489</v>
      </c>
    </row>
    <row r="279" spans="2:9" x14ac:dyDescent="0.25">
      <c r="E279" t="s">
        <v>491</v>
      </c>
      <c r="F279"/>
      <c r="G279" t="e">
        <f ca="1">H279/liqHydrogen_quantityProduced_tonnes</f>
        <v>#N/A</v>
      </c>
      <c r="H279" s="227">
        <f ca="1">conditioning_transport_emissions + IF(liqHydrogen_integratedFacility="Yes", VLOOKUP(HydrogenLiquefactionEmissionsBreakdown[[#This Row],[Major category]],_xlfn.CHOOSECOLS(INDIRECT($K$166),1,4),2,FALSE), 0)</f>
        <v>0</v>
      </c>
      <c r="I279" t="s">
        <v>492</v>
      </c>
    </row>
    <row r="280" spans="2:9" x14ac:dyDescent="0.25">
      <c r="E280" t="s">
        <v>493</v>
      </c>
      <c r="F280"/>
      <c r="G280" t="e">
        <f ca="1">H280/liqHydrogen_quantityProduced_tonnes</f>
        <v>#N/A</v>
      </c>
      <c r="H280" s="227">
        <f ca="1">conditioning_storage_emissions + IF(liqHydrogen_integratedFacility="Yes", VLOOKUP(HydrogenLiquefactionEmissionsBreakdown[[#This Row],[Major category]],_xlfn.CHOOSECOLS(INDIRECT($K$166),1,4),2,FALSE), 0)</f>
        <v>0</v>
      </c>
      <c r="I280" t="s">
        <v>492</v>
      </c>
    </row>
    <row r="281" spans="2:9" x14ac:dyDescent="0.25">
      <c r="E281" t="s">
        <v>383</v>
      </c>
      <c r="F281"/>
      <c r="G281" t="e">
        <f ca="1">H281/liqHydrogen_quantityProduced_tonnes</f>
        <v>#N/A</v>
      </c>
      <c r="H281" s="227">
        <f ca="1">O149 + IF(liqHydrogen_integratedFacility="Yes", VLOOKUP(HydrogenLiquefactionEmissionsBreakdown[[#This Row],[Major category]],_xlfn.CHOOSECOLS(INDIRECT($K$166),1,4),2,FALSE), 0)</f>
        <v>0</v>
      </c>
      <c r="I281" t="s">
        <v>489</v>
      </c>
    </row>
    <row r="282" spans="2:9" x14ac:dyDescent="0.25">
      <c r="E282" t="s">
        <v>494</v>
      </c>
      <c r="F282"/>
      <c r="H282" s="227">
        <f ca="1">('Transport - Conditioning'!$H$121+'Transport - Conditioning'!$H$122) + IF(liqHydrogen_integratedFacility="Yes", VLOOKUP(HydrogenLiquefactionEmissionsBreakdown[[#This Row],[Major category]],_xlfn.CHOOSECOLS(INDIRECT($K$166),1,4),2,FALSE), 0)</f>
        <v>0</v>
      </c>
      <c r="I282" s="1118" t="s">
        <v>495</v>
      </c>
    </row>
    <row r="283" spans="2:9" x14ac:dyDescent="0.25">
      <c r="E283" t="s">
        <v>496</v>
      </c>
      <c r="F283"/>
      <c r="G283" s="1069"/>
      <c r="H283" s="227">
        <f ca="1">'Transport - Conditioning'!$H$123 + IF(liqHydrogen_integratedFacility="Yes", VLOOKUP(HydrogenLiquefactionEmissionsBreakdown[[#This Row],[Major category]],_xlfn.CHOOSECOLS(INDIRECT($K$166),1,4),2,FALSE), 0)</f>
        <v>0</v>
      </c>
      <c r="I283" s="1118" t="s">
        <v>495</v>
      </c>
    </row>
    <row r="284" spans="2:9" x14ac:dyDescent="0.25">
      <c r="E284"/>
      <c r="F284"/>
      <c r="G284"/>
      <c r="H284"/>
      <c r="I284"/>
    </row>
    <row r="285" spans="2:9" x14ac:dyDescent="0.25">
      <c r="E285"/>
      <c r="F285"/>
      <c r="G285"/>
      <c r="H285"/>
      <c r="I285"/>
    </row>
    <row r="286" spans="2:9" x14ac:dyDescent="0.25">
      <c r="E286"/>
      <c r="F286"/>
      <c r="G286"/>
      <c r="H286"/>
      <c r="I286"/>
    </row>
    <row r="287" spans="2:9" x14ac:dyDescent="0.25">
      <c r="E287"/>
      <c r="F287"/>
      <c r="G287"/>
      <c r="H287"/>
      <c r="I287"/>
    </row>
    <row r="288" spans="2:9" x14ac:dyDescent="0.25">
      <c r="E288"/>
      <c r="F288"/>
      <c r="G288"/>
      <c r="H288"/>
      <c r="I288"/>
    </row>
    <row r="289" spans="5:9" x14ac:dyDescent="0.25">
      <c r="E289"/>
      <c r="F289"/>
      <c r="G289"/>
      <c r="H289"/>
      <c r="I289"/>
    </row>
    <row r="290" spans="5:9" x14ac:dyDescent="0.25">
      <c r="E290"/>
      <c r="F290"/>
      <c r="G290"/>
      <c r="H290"/>
      <c r="I290"/>
    </row>
    <row r="291" spans="5:9" x14ac:dyDescent="0.25">
      <c r="E291"/>
      <c r="F291"/>
      <c r="G291"/>
      <c r="H291"/>
      <c r="I291"/>
    </row>
    <row r="292" spans="5:9" x14ac:dyDescent="0.25">
      <c r="E292"/>
      <c r="F292"/>
      <c r="G292"/>
      <c r="H292"/>
      <c r="I292"/>
    </row>
    <row r="293" spans="5:9" x14ac:dyDescent="0.25">
      <c r="E293"/>
      <c r="F293"/>
      <c r="G293"/>
      <c r="H293"/>
      <c r="I293"/>
    </row>
    <row r="294" spans="5:9" x14ac:dyDescent="0.25">
      <c r="E294"/>
      <c r="F294"/>
      <c r="G294"/>
      <c r="H294"/>
      <c r="I294"/>
    </row>
    <row r="295" spans="5:9" x14ac:dyDescent="0.25">
      <c r="E295"/>
      <c r="F295"/>
      <c r="G295"/>
      <c r="H295"/>
      <c r="I295"/>
    </row>
    <row r="296" spans="5:9" x14ac:dyDescent="0.25">
      <c r="E296"/>
      <c r="F296"/>
      <c r="G296"/>
      <c r="H296"/>
      <c r="I296"/>
    </row>
  </sheetData>
  <sheetProtection selectLockedCells="1" selectUnlockedCells="1"/>
  <mergeCells count="29">
    <mergeCell ref="B3:Q3"/>
    <mergeCell ref="AL34:AL35"/>
    <mergeCell ref="AM34:AM35"/>
    <mergeCell ref="AH32:AM33"/>
    <mergeCell ref="H134:H135"/>
    <mergeCell ref="I30:I31"/>
    <mergeCell ref="AH34:AH35"/>
    <mergeCell ref="AI34:AI35"/>
    <mergeCell ref="AJ34:AJ35"/>
    <mergeCell ref="AK34:AK35"/>
    <mergeCell ref="H39:H40"/>
    <mergeCell ref="H65:H66"/>
    <mergeCell ref="H74:H75"/>
    <mergeCell ref="H83:J83"/>
    <mergeCell ref="I84:I85"/>
    <mergeCell ref="J84:J85"/>
    <mergeCell ref="K84:K85"/>
    <mergeCell ref="AA192:AB192"/>
    <mergeCell ref="AA193:AB193"/>
    <mergeCell ref="Y201:Z201"/>
    <mergeCell ref="AA202:AB202"/>
    <mergeCell ref="AA203:AB203"/>
    <mergeCell ref="Y230:Z230"/>
    <mergeCell ref="AA204:AB204"/>
    <mergeCell ref="Y205:Z205"/>
    <mergeCell ref="Y206:Z206"/>
    <mergeCell ref="Y215:Z215"/>
    <mergeCell ref="Y216:Z216"/>
    <mergeCell ref="Y229:Z229"/>
  </mergeCells>
  <conditionalFormatting sqref="C14">
    <cfRule type="expression" dxfId="158" priority="6">
      <formula>$E$13="Yes"</formula>
    </cfRule>
  </conditionalFormatting>
  <conditionalFormatting sqref="C15:C16">
    <cfRule type="expression" dxfId="157" priority="5">
      <formula>$E$14="Yes"</formula>
    </cfRule>
    <cfRule type="expression" dxfId="156" priority="9">
      <formula>$E$13="Yes"</formula>
    </cfRule>
  </conditionalFormatting>
  <conditionalFormatting sqref="E14">
    <cfRule type="expression" dxfId="155" priority="7">
      <formula>$E$13="Yes"</formula>
    </cfRule>
  </conditionalFormatting>
  <conditionalFormatting sqref="E15">
    <cfRule type="expression" dxfId="154" priority="3">
      <formula>AND($E$14="Yes",$E$13="No")</formula>
    </cfRule>
  </conditionalFormatting>
  <conditionalFormatting sqref="E15:F16">
    <cfRule type="expression" dxfId="153" priority="4">
      <formula>$E$14="Yes"</formula>
    </cfRule>
    <cfRule type="expression" dxfId="152" priority="8">
      <formula>$E$13="Yes"</formula>
    </cfRule>
  </conditionalFormatting>
  <conditionalFormatting sqref="H87:H91">
    <cfRule type="expression" dxfId="151" priority="19">
      <formula>AND(NOT(ISNUMBER(AB87)),$F87&lt;&gt;"")</formula>
    </cfRule>
  </conditionalFormatting>
  <conditionalFormatting sqref="I39:I40">
    <cfRule type="expression" dxfId="150" priority="33">
      <formula>($H$42&lt;&gt;"")</formula>
    </cfRule>
  </conditionalFormatting>
  <conditionalFormatting sqref="I42">
    <cfRule type="expression" dxfId="149" priority="32">
      <formula>($H$42&lt;&gt;"")</formula>
    </cfRule>
  </conditionalFormatting>
  <conditionalFormatting sqref="K87:K91">
    <cfRule type="expression" dxfId="138" priority="18">
      <formula>AND(NOT(ISNUMBER($AA87)),$F87&lt;&gt;"")</formula>
    </cfRule>
  </conditionalFormatting>
  <conditionalFormatting sqref="N16:P17">
    <cfRule type="expression" dxfId="137" priority="2">
      <formula>$E$13="Yes"</formula>
    </cfRule>
  </conditionalFormatting>
  <conditionalFormatting sqref="O10">
    <cfRule type="expression" dxfId="136" priority="1">
      <formula>$E$13="Yes"</formula>
    </cfRule>
  </conditionalFormatting>
  <dataValidations count="25">
    <dataValidation type="decimal" operator="greaterThanOrEqual" allowBlank="1" showInputMessage="1" showErrorMessage="1" prompt="Value must be entered to use default emission factor" sqref="I42" xr:uid="{533E6B19-23B8-4A28-BC35-7381551D937A}">
      <formula1>0</formula1>
    </dataValidation>
    <dataValidation allowBlank="1" showInputMessage="1" showErrorMessage="1" prompt="Leave blank to use default value" sqref="H42" xr:uid="{5A4B20E0-C4D1-42FC-B4D9-4AB609E53629}"/>
    <dataValidation type="decimal" operator="greaterThanOrEqual" allowBlank="1" showInputMessage="1" showErrorMessage="1" prompt="Leave blank to use default value" sqref="I33:I35" xr:uid="{08D76480-78E6-4DF7-BB6E-CDEFAADF2026}">
      <formula1>0</formula1>
    </dataValidation>
    <dataValidation type="decimal" operator="greaterThanOrEqual" showInputMessage="1" showErrorMessage="1" sqref="E128" xr:uid="{B822C037-2728-446F-930F-0B8598E9B23C}">
      <formula1>0</formula1>
    </dataValidation>
    <dataValidation type="decimal" showInputMessage="1" showErrorMessage="1" error="Quantity sold must be equal to or less than quantity produced." sqref="F138:F139" xr:uid="{9C143614-D168-45A8-9A61-702B2C4917C7}">
      <formula1>0</formula1>
      <formula2>E138</formula2>
    </dataValidation>
    <dataValidation type="decimal" operator="greaterThanOrEqual" allowBlank="1" showInputMessage="1" showErrorMessage="1" prompt="If no bespoke factor is entered a default will be selected._x000a__x000a_Note no defaults exist for some fuels. Cell will appear red if no default exists_x000a_" sqref="K87:K91" xr:uid="{71C95D0E-22D5-4814-9727-1B8704AC1132}">
      <formula1>0</formula1>
    </dataValidation>
    <dataValidation allowBlank="1" showInputMessage="1" showErrorMessage="1" prompt="Inputs may include chemicals, materials, etc." sqref="E77" xr:uid="{0E67A2DA-A9C2-474F-B9A9-D5850FC45538}"/>
    <dataValidation allowBlank="1" showInputMessage="1" showErrorMessage="1" prompt="i.e. river water, groundwater, etc." sqref="E42" xr:uid="{39DBFBEA-C709-4FC6-AB3B-6132EB919A8E}"/>
    <dataValidation type="decimal" operator="greaterThanOrEqual" allowBlank="1" showInputMessage="1" showErrorMessage="1" prompt="Leave blank to use default value." sqref="H68:H70" xr:uid="{0AC8DCA8-B54B-45BF-B632-E53DA5A9A732}">
      <formula1>0</formula1>
    </dataValidation>
    <dataValidation type="decimal" operator="greaterThan" allowBlank="1" showInputMessage="1" showErrorMessage="1" prompt="If no bespoke factor entered, a default will be selected." sqref="I87:J91" xr:uid="{C5AFE948-D5B5-4CB4-A668-BA9D5D1B916D}">
      <formula1>0</formula1>
    </dataValidation>
    <dataValidation type="decimal" operator="greaterThanOrEqual" allowBlank="1" showInputMessage="1" showErrorMessage="1" sqref="F155:F156 G87:G91 G111:G114 J33:J35 E121 E138:E139 G98:G104 F77:F80 E129:E130 H77:H80 G33:G35 F68:F70" xr:uid="{7199B373-47C5-43DB-BE34-8DDF157D617B}">
      <formula1>0</formula1>
    </dataValidation>
    <dataValidation type="decimal" operator="greaterThan" allowBlank="1" showInputMessage="1" showErrorMessage="1" sqref="E16" xr:uid="{7196FD36-3DE8-4198-80D9-D1E80D452980}">
      <formula1>0</formula1>
    </dataValidation>
    <dataValidation allowBlank="1" showInputMessage="1" showErrorMessage="1" prompt="Enter percentage (%) purity at gate" sqref="E25" xr:uid="{031EA382-F515-4886-A945-094B162821D0}"/>
    <dataValidation type="decimal" operator="greaterThanOrEqual" allowBlank="1" showInputMessage="1" showErrorMessage="1" prompt="Leave blank to use default value._x000a_" sqref="H137" xr:uid="{3DCDD1F9-DAAC-49F3-8C4D-9560AA072609}">
      <formula1>0</formula1>
    </dataValidation>
    <dataValidation allowBlank="1" showDropDown="1" showInputMessage="1" showErrorMessage="1" sqref="C49:C50 C53 AD49:AD52 AE53" xr:uid="{1AD3F243-7EFB-4D5F-A8E8-949B77131B43}"/>
    <dataValidation type="decimal" operator="greaterThanOrEqual" showInputMessage="1" showErrorMessage="1" error="Quantity sold must be greater than or equal to 0." sqref="F128:F130" xr:uid="{EC18D733-70E9-4E86-A8ED-8D48AB8DB5EF}">
      <formula1>0</formula1>
    </dataValidation>
    <dataValidation type="decimal" operator="greaterThanOrEqual" allowBlank="1" showErrorMessage="1" error="Value must be greater than or equal to zero." sqref="E12 E15 E23 F42" xr:uid="{7156288C-E26C-4A33-9251-70BEADB65630}">
      <formula1>0</formula1>
    </dataValidation>
    <dataValidation allowBlank="1" showInputMessage="1" showErrorMessage="1" prompt="Enter contaminant information, i.e. type and concentration" sqref="E26" xr:uid="{DD3FCCCC-57DC-4EF3-8753-84DAF358C6A3}"/>
    <dataValidation type="decimal" operator="greaterThanOrEqual" allowBlank="1" showInputMessage="1" showErrorMessage="1" error="Value must be greater than or equal to zero." prompt="Input total quantity of steam produced via a Combined Heat and Power system consumed by this process. Value must be less than or equal to the total steam produced via CHP input into 'Electricity Usage' tab." sqref="E60" xr:uid="{C76E87CA-9558-486C-9A72-CB4AB0AFCFE3}">
      <formula1>0</formula1>
    </dataValidation>
    <dataValidation type="decimal" operator="greaterThanOrEqual" allowBlank="1" showInputMessage="1" showErrorMessage="1" error="Value must be greater than or equal to zero." prompt="Input total electricity consumption allocated to this process from all electricity sources" sqref="E49" xr:uid="{4CBE9E15-98B7-4AA4-B310-7E480DFCEE3E}">
      <formula1>0</formula1>
    </dataValidation>
    <dataValidation type="decimal" operator="greaterThanOrEqual" allowBlank="1" showInputMessage="1" showErrorMessage="1" error="Value must be greater than or equal to zero." prompt="Input total quantity of renewable electricity allocated to this process. Value must be less than or equal to the total renewable electricity input into 'Electricity Usage' tab." sqref="E50" xr:uid="{F4ED8459-C1DD-4CA9-9F58-AFCB12A4CBA0}">
      <formula1>0</formula1>
    </dataValidation>
    <dataValidation type="decimal" operator="greaterThanOrEqual" allowBlank="1" showInputMessage="1" showErrorMessage="1" error="Value must be greater than or equal to zero." prompt="Input total quantity of grid electricity allocated to this process. Value must be less than or equal to the total grid electricity input into 'Electricity Usage' tab." sqref="E52" xr:uid="{967E8DA2-1B77-4EC6-A5BE-E4EF6C4302C6}">
      <formula1>0</formula1>
    </dataValidation>
    <dataValidation type="decimal" operator="greaterThanOrEqual" allowBlank="1" showInputMessage="1" showErrorMessage="1" error="Value must be greater than or equal to zero." prompt="Input total quantity of onsite electricity generated via fuel combustion allocated to this process. Value must be less than or equal to the total input into 'Electricity Usage' tab." sqref="E53" xr:uid="{7016409D-24E7-4E79-8586-E40FD64EAEE0}">
      <formula1>0</formula1>
    </dataValidation>
    <dataValidation allowBlank="1" showInputMessage="1" showErrorMessage="1" prompt="Note: All Co-Product names must be unique." sqref="C146:C148" xr:uid="{6B2C8BB4-7338-4233-9096-003C2F2DAA5B}"/>
    <dataValidation type="list" allowBlank="1" showInputMessage="1" showErrorMessage="1" sqref="F49:F50 F52:F53" xr:uid="{A75685F5-653A-4ED0-8AFD-074A7F0B1AE7}">
      <formula1>Energy_Units_Options</formula1>
    </dataValidation>
  </dataValidations>
  <pageMargins left="0.7" right="0.7" top="0.75" bottom="0.75" header="0.3" footer="0.3"/>
  <pageSetup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4" id="{AB12C4B3-71FB-453A-9E43-ED9628BAE0A7}">
            <xm:f>OR((OR(($F33='Key Values'!$B$26),($F33='Key Values'!$B$27))),(OR(($F34='Key Values'!$B$26),($F34='Key Values'!$B$27))),(OR(($F35='Key Values'!$B$26),($F35='Key Values'!$B$27))))</xm:f>
            <x14:dxf>
              <font>
                <color auto="1"/>
              </font>
              <fill>
                <patternFill patternType="solid">
                  <bgColor rgb="FF00A7D3"/>
                </patternFill>
              </fill>
            </x14:dxf>
          </x14:cfRule>
          <xm:sqref>J31</xm:sqref>
        </x14:conditionalFormatting>
        <x14:conditionalFormatting xmlns:xm="http://schemas.microsoft.com/office/excel/2006/main">
          <x14:cfRule type="expression" priority="28" id="{CD1ECB40-080D-48A9-95EA-387CB69A01B2}">
            <xm:f>OR(($F33='Key Values'!$B$26),($F33='Key Values'!$B$27))</xm:f>
            <x14:dxf>
              <border>
                <top style="thin">
                  <color auto="1"/>
                </top>
                <bottom/>
                <vertical/>
                <horizontal/>
              </border>
            </x14:dxf>
          </x14:cfRule>
          <xm:sqref>J33</xm:sqref>
        </x14:conditionalFormatting>
        <x14:conditionalFormatting xmlns:xm="http://schemas.microsoft.com/office/excel/2006/main">
          <x14:cfRule type="expression" priority="31" id="{021D38A9-778C-4340-9D8A-BD037A963741}">
            <xm:f>OR(($F33='Key Values'!$B$26),($F33='Key Values'!$B$27))</xm:f>
            <x14:dxf>
              <font>
                <color auto="1"/>
              </font>
              <fill>
                <patternFill>
                  <bgColor theme="5" tint="0.59996337778862885"/>
                </patternFill>
              </fill>
              <border>
                <left style="hair">
                  <color auto="1"/>
                </left>
                <right style="thin">
                  <color auto="1"/>
                </right>
                <top/>
                <bottom/>
              </border>
            </x14:dxf>
          </x14:cfRule>
          <xm:sqref>J33:J35</xm:sqref>
        </x14:conditionalFormatting>
        <x14:conditionalFormatting xmlns:xm="http://schemas.microsoft.com/office/excel/2006/main">
          <x14:cfRule type="expression" priority="22" id="{35C1B7C0-9524-4DDD-9C1A-7AF3667CADD7}">
            <xm:f>AND(NOT(OR(($F35='Key Values'!$B$26),($F35='Key Values'!$B$27))),OR(($F34='Key Values'!$B$26),($F34='Key Values'!$B$27)))</xm:f>
            <x14:dxf>
              <border>
                <bottom style="thin">
                  <color auto="1"/>
                </bottom>
                <vertical/>
                <horizontal/>
              </border>
            </x14:dxf>
          </x14:cfRule>
          <x14:cfRule type="expression" priority="23" id="{6AC8B8DC-A463-4861-94A7-225A13B177B7}">
            <xm:f>AND(NOT(OR(($F33='Key Values'!$B$26),($F33='Key Values'!$B$27))),OR(($F34='Key Values'!$B$26),($F34='Key Values'!$B$27)))</xm:f>
            <x14:dxf>
              <border>
                <top style="thin">
                  <color auto="1"/>
                </top>
                <vertical/>
                <horizontal/>
              </border>
            </x14:dxf>
          </x14:cfRule>
          <x14:cfRule type="expression" priority="25" id="{2B1FA438-7164-4B13-9877-56D4B1AC0D5E}">
            <xm:f>AND(NOT(OR(($F34='Key Values'!$B$26),($F34='Key Values'!$B$27))),OR(($F33='Key Values'!$B$26),($F33='Key Values'!$B$27)))</xm:f>
            <x14:dxf>
              <border>
                <top style="thin">
                  <color auto="1"/>
                </top>
                <vertical/>
                <horizontal/>
              </border>
            </x14:dxf>
          </x14:cfRule>
          <x14:cfRule type="expression" priority="26" id="{9699BD33-B0CB-49A9-921B-7B99E95F38C7}">
            <xm:f>AND(NOT(OR(($F34='Key Values'!$B$26),($F34='Key Values'!$B$27))),OR(($F35='Key Values'!$B$26),($F35='Key Values'!$B$27)))</xm:f>
            <x14:dxf>
              <border>
                <bottom style="thin">
                  <color auto="1"/>
                </bottom>
                <vertical/>
                <horizontal/>
              </border>
            </x14:dxf>
          </x14:cfRule>
          <x14:cfRule type="expression" priority="27" id="{E075EF6E-B75D-46BD-ABF5-D3980FB723B0}">
            <xm:f>AND(OR(($F33='Key Values'!$B$26),($F33='Key Values'!$B$27)),OR(($F34='Key Values'!$B$26),($F34='Key Values'!$B$27)))</xm:f>
            <x14:dxf>
              <border>
                <top style="hair">
                  <color auto="1"/>
                </top>
                <vertical/>
                <horizontal/>
              </border>
            </x14:dxf>
          </x14:cfRule>
          <x14:cfRule type="expression" priority="29" id="{F27261F3-885E-45DB-B884-DBFE7518585C}">
            <xm:f>AND(OR(($F34='Key Values'!$B$26),($F34='Key Values'!$B$27)),OR(($F35='Key Values'!$B$26),($F35='Key Values'!$B$27)))</xm:f>
            <x14:dxf>
              <border>
                <bottom style="hair">
                  <color auto="1"/>
                </bottom>
                <vertical/>
                <horizontal/>
              </border>
            </x14:dxf>
          </x14:cfRule>
          <xm:sqref>J34</xm:sqref>
        </x14:conditionalFormatting>
        <x14:conditionalFormatting xmlns:xm="http://schemas.microsoft.com/office/excel/2006/main">
          <x14:cfRule type="expression" priority="30" id="{5B31F095-5AE5-4B1A-BAEA-DEDA0A29CEE2}">
            <xm:f>OR(($F35='Key Values'!$B$26),($F35='Key Values'!$B$27))</xm:f>
            <x14:dxf>
              <border>
                <bottom style="thin">
                  <color auto="1"/>
                </bottom>
                <vertical/>
                <horizontal/>
              </border>
            </x14:dxf>
          </x14:cfRule>
          <xm:sqref>J35</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7E4E9362-0A65-4AA8-AB96-64388C3DB835}">
          <x14:formula1>
            <xm:f>'Hidden Lists and Summaries'!$B$29:$B$34</xm:f>
          </x14:formula1>
          <xm:sqref>G77:G80 G146:G148</xm:sqref>
        </x14:dataValidation>
        <x14:dataValidation type="list" allowBlank="1" showInputMessage="1" showErrorMessage="1" xr:uid="{814CB209-898B-4295-BDD1-A066DE2E70E5}">
          <x14:formula1>
            <xm:f>'Hidden Lists and Summaries'!$B$5:$B$9</xm:f>
          </x14:formula1>
          <xm:sqref>F111:F114</xm:sqref>
        </x14:dataValidation>
        <x14:dataValidation type="list" allowBlank="1" showInputMessage="1" showErrorMessage="1" xr:uid="{67E3107F-2B08-4AEA-ACBD-C57A3AB7410C}">
          <x14:formula1>
            <xm:f>'Key Values'!$B$35:$B$37</xm:f>
          </x14:formula1>
          <xm:sqref>E87:E91</xm:sqref>
        </x14:dataValidation>
        <x14:dataValidation type="list" allowBlank="1" showInputMessage="1" showErrorMessage="1" xr:uid="{65FAA94B-52C9-4666-A6B2-440D80AE4F23}">
          <x14:formula1>
            <xm:f>'Key Values'!$B$20:$B$27</xm:f>
          </x14:formula1>
          <xm:sqref>F33:F35</xm:sqref>
        </x14:dataValidation>
        <x14:dataValidation type="list" allowBlank="1" showDropDown="1" showInputMessage="1" showErrorMessage="1" xr:uid="{456A4609-A09B-42C8-BBFE-669E4065F0F4}">
          <x14:formula1>
            <xm:f>'Key Values'!$B$303</xm:f>
          </x14:formula1>
          <xm:sqref>F121</xm:sqref>
        </x14:dataValidation>
        <x14:dataValidation type="list" allowBlank="1" showInputMessage="1" showErrorMessage="1" xr:uid="{C833C9D6-E15A-40B3-8A55-C1B051A40912}">
          <x14:formula1>
            <xm:f>'Key Values'!$B$291:$B$292</xm:f>
          </x14:formula1>
          <xm:sqref>G128:G130 G68:G70 H98:H104 F12 F23 F15 G138:G139 F60</xm:sqref>
        </x14:dataValidation>
        <x14:dataValidation type="list" allowBlank="1" showInputMessage="1" showErrorMessage="1" xr:uid="{74187A95-BD3D-469D-8121-394D9793C593}">
          <x14:formula1>
            <xm:f>'Key Values'!$B$313:$B$317</xm:f>
          </x14:formula1>
          <xm:sqref>G42 H33:H35</xm:sqref>
        </x14:dataValidation>
        <x14:dataValidation type="list" allowBlank="1" showInputMessage="1" showErrorMessage="1" xr:uid="{40270B99-CA51-460A-B925-E3638A90718A}">
          <x14:formula1>
            <xm:f>'Key Values'!$B$302:$B$303</xm:f>
          </x14:formula1>
          <xm:sqref>I137</xm:sqref>
        </x14:dataValidation>
        <x14:dataValidation type="list" allowBlank="1" showDropDown="1" showInputMessage="1" showErrorMessage="1" xr:uid="{E6172C17-C3A7-446F-9F6A-F9EDAD7B78D3}">
          <x14:formula1>
            <xm:f>'Key Values'!$B$291</xm:f>
          </x14:formula1>
          <xm:sqref>G155:G156</xm:sqref>
        </x14:dataValidation>
        <x14:dataValidation type="list" allowBlank="1" showInputMessage="1" showErrorMessage="1" xr:uid="{0266ECED-D885-4AA7-835F-53537AEFA792}">
          <x14:formula1>
            <xm:f>'Hidden Lists and Summaries'!$B$151:$B$152</xm:f>
          </x14:formula1>
          <xm:sqref>E13:E14</xm:sqref>
        </x14:dataValidation>
        <x14:dataValidation type="list" allowBlank="1" showInputMessage="1" showErrorMessage="1" xr:uid="{BE1E788B-BD6B-494E-B0CD-2E04AF3CFADC}">
          <x14:formula1>
            <xm:f>'Key Values'!$B$189:$B$192</xm:f>
          </x14:formula1>
          <xm:sqref>E98:E104</xm:sqref>
        </x14:dataValidation>
        <x14:dataValidation type="list" allowBlank="1" showInputMessage="1" showErrorMessage="1" xr:uid="{C6852944-C830-40C6-96EF-AF32E7C39465}">
          <x14:formula1>
            <xm:f>IF($E$101='Key Values'!$B$192,'Key Values'!$B$221,'Key Values'!$B$222:$B$234)</xm:f>
          </x14:formula1>
          <xm:sqref>F101</xm:sqref>
        </x14:dataValidation>
        <x14:dataValidation type="list" allowBlank="1" showInputMessage="1" showErrorMessage="1" xr:uid="{4E0FCA09-9C48-4EFE-99D6-B6F19C5E8A48}">
          <x14:formula1>
            <xm:f>IF($E$98='Key Values'!$B$192,'Key Values'!$B$221,'Key Values'!$B$222:$B$234)</xm:f>
          </x14:formula1>
          <xm:sqref>F98</xm:sqref>
        </x14:dataValidation>
        <x14:dataValidation type="list" allowBlank="1" showInputMessage="1" showErrorMessage="1" xr:uid="{21922C10-2A80-4714-861E-29876FEAD6AC}">
          <x14:formula1>
            <xm:f>IF($E$99='Key Values'!$B$192,'Key Values'!$B$221,'Key Values'!$B$222:$B$234)</xm:f>
          </x14:formula1>
          <xm:sqref>F99</xm:sqref>
        </x14:dataValidation>
        <x14:dataValidation type="list" allowBlank="1" showInputMessage="1" showErrorMessage="1" xr:uid="{9F1BDA1B-3474-42FE-B041-3E172C63021B}">
          <x14:formula1>
            <xm:f>IF($E$100='Key Values'!$B$192,'Key Values'!$B$221,'Key Values'!$B$222:$B$234)</xm:f>
          </x14:formula1>
          <xm:sqref>F100</xm:sqref>
        </x14:dataValidation>
        <x14:dataValidation type="list" allowBlank="1" showInputMessage="1" showErrorMessage="1" xr:uid="{A925B116-2824-47CC-91EB-4BDA222AA7BE}">
          <x14:formula1>
            <xm:f>IF($E$102='Key Values'!$B$192,'Key Values'!$B$221,'Key Values'!$B$222:$B$234)</xm:f>
          </x14:formula1>
          <xm:sqref>F102</xm:sqref>
        </x14:dataValidation>
        <x14:dataValidation type="list" allowBlank="1" showInputMessage="1" showErrorMessage="1" xr:uid="{E581132B-2369-4941-A56F-D7416293AC4C}">
          <x14:formula1>
            <xm:f>IF($E$103='Key Values'!$B$192,'Key Values'!$B$221,'Key Values'!$B$222:$B$234)</xm:f>
          </x14:formula1>
          <xm:sqref>F103</xm:sqref>
        </x14:dataValidation>
        <x14:dataValidation type="list" allowBlank="1" showInputMessage="1" showErrorMessage="1" xr:uid="{A1219041-A5C1-400C-B6D2-1FDA105B064A}">
          <x14:formula1>
            <xm:f>IF($E$104='Key Values'!$B$192,'Key Values'!$B$221,'Key Values'!$B$222:$B$234)</xm:f>
          </x14:formula1>
          <xm:sqref>F104</xm:sqref>
        </x14:dataValidation>
        <x14:dataValidation type="list" operator="greaterThan" allowBlank="1" showInputMessage="1" showErrorMessage="1" xr:uid="{672FA977-A545-42AB-B11D-CF29A173D900}">
          <x14:formula1>
            <xm:f>'Key Values'!$B$197:$B$204</xm:f>
          </x14:formula1>
          <xm:sqref>J68:J70 H128:H130</xm:sqref>
        </x14:dataValidation>
        <x14:dataValidation type="list" allowBlank="1" showInputMessage="1" showErrorMessage="1" xr:uid="{A9602312-7281-4838-A395-2A679606BEB8}">
          <x14:formula1>
            <xm:f>'Key Values'!$B$209:$B$217</xm:f>
          </x14:formula1>
          <xm:sqref>I68:I70</xm:sqref>
        </x14:dataValidation>
        <x14:dataValidation type="list" allowBlank="1" showInputMessage="1" showErrorMessage="1" xr:uid="{51BE2080-63B0-47D4-9421-C53020AD04F8}">
          <x14:formula1>
            <xm:f>IF(E87="Solid Fuel", 'Key Values'!$B$41:$B$58,IF(E87="Gaseous Fuel",'Key Values'!$B$72:$B$85,'Key Values'!$B$101:$B$120))</xm:f>
          </x14:formula1>
          <xm:sqref>F87:F91</xm:sqref>
        </x14:dataValidation>
        <x14:dataValidation type="list" allowBlank="1" showInputMessage="1" showErrorMessage="1" prompt="Cell will appear red if incompatible unit is selected" xr:uid="{564D5458-2A78-4D17-9CEA-949FFCAC4261}">
          <x14:formula1>
            <xm:f>IF(OR(AND(E87="Liquid Fuel", _xlfn.IFNA(VLOOKUP(F87,'Key Values'!$B$101:$H$120,3,FALSE)="GJ/t", FALSE) ),E87="Solid Fuel"),'Key Values'!$B$291:$B$292, 'Key Values'!$B$296:$B$298)</xm:f>
          </x14:formula1>
          <xm:sqref>H87:H91</xm:sqref>
        </x14:dataValidation>
        <x14:dataValidation type="list" allowBlank="1" showInputMessage="1" showErrorMessage="1" xr:uid="{59B47BF5-5203-4842-B9F5-01F0F7372BB0}">
          <x14:formula1>
            <xm:f>'Key Values'!B$291:B$292</xm:f>
          </x14:formula1>
          <xm:sqref>H111:H114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F1784-E720-4365-9961-DBED7FACC9CD}">
  <sheetPr codeName="Sheet4">
    <tabColor theme="4" tint="0.39997558519241921"/>
  </sheetPr>
  <dimension ref="A1:AQ299"/>
  <sheetViews>
    <sheetView showGridLines="0" topLeftCell="A2" zoomScale="70" zoomScaleNormal="70" workbookViewId="0">
      <selection activeCell="C47" sqref="C47"/>
    </sheetView>
  </sheetViews>
  <sheetFormatPr defaultColWidth="8.54296875" defaultRowHeight="15.5" x14ac:dyDescent="0.25"/>
  <cols>
    <col min="1" max="1" width="4.54296875" style="43" customWidth="1"/>
    <col min="2" max="2" width="3.54296875" style="43" customWidth="1"/>
    <col min="3" max="3" width="43.453125" style="43" customWidth="1"/>
    <col min="4" max="4" width="4.54296875" style="43" customWidth="1"/>
    <col min="5" max="11" width="40.54296875" style="43" customWidth="1"/>
    <col min="12" max="13" width="11.81640625" style="43" customWidth="1"/>
    <col min="14" max="14" width="27.453125" style="43" customWidth="1"/>
    <col min="15" max="15" width="29.453125" style="43" customWidth="1"/>
    <col min="16" max="16" width="5.81640625" style="43" customWidth="1"/>
    <col min="17" max="18" width="8.54296875" style="43" customWidth="1"/>
    <col min="19" max="19" width="15.54296875" style="43" customWidth="1"/>
    <col min="20" max="21" width="8.54296875" style="43" customWidth="1"/>
    <col min="22" max="22" width="14.453125" style="43" customWidth="1"/>
    <col min="23" max="23" width="8.54296875" style="43" customWidth="1"/>
    <col min="24" max="24" width="14.1796875" style="43" customWidth="1"/>
    <col min="25" max="29" width="50.54296875" style="43" customWidth="1"/>
    <col min="30" max="30" width="20.453125" style="43" customWidth="1"/>
    <col min="31" max="31" width="19.453125" style="43" customWidth="1"/>
    <col min="32" max="32" width="32.453125" style="43" bestFit="1" customWidth="1"/>
    <col min="33" max="33" width="8.54296875" style="43" customWidth="1"/>
    <col min="34" max="34" width="21.1796875" style="43" customWidth="1"/>
    <col min="35" max="35" width="18" style="43" customWidth="1"/>
    <col min="36" max="36" width="29.54296875" style="43" customWidth="1"/>
    <col min="37" max="37" width="34.54296875" style="43" customWidth="1"/>
    <col min="38" max="16384" width="8.54296875" style="43"/>
  </cols>
  <sheetData>
    <row r="1" spans="2:32" ht="33" customHeight="1" x14ac:dyDescent="0.25"/>
    <row r="2" spans="2:32" ht="300.75" customHeight="1" x14ac:dyDescent="0.25"/>
    <row r="3" spans="2:32" ht="43.5" customHeight="1" x14ac:dyDescent="0.25">
      <c r="B3" s="1884" t="s">
        <v>175</v>
      </c>
      <c r="C3" s="1884"/>
      <c r="D3" s="1884"/>
      <c r="E3" s="1884"/>
      <c r="F3" s="1884"/>
      <c r="G3" s="1884"/>
      <c r="H3" s="1884"/>
      <c r="I3" s="1884"/>
      <c r="J3" s="1884"/>
      <c r="K3" s="1884"/>
      <c r="L3" s="1884"/>
      <c r="M3" s="1884"/>
      <c r="N3" s="1884"/>
      <c r="O3" s="1884"/>
      <c r="P3" s="1884"/>
      <c r="Q3" s="1884"/>
    </row>
    <row r="4" spans="2:32" ht="15.65" customHeight="1" x14ac:dyDescent="0.25">
      <c r="B4" s="44"/>
      <c r="C4" s="44"/>
      <c r="D4" s="44"/>
      <c r="E4" s="44"/>
      <c r="F4" s="44"/>
      <c r="G4" s="44"/>
      <c r="H4" s="44"/>
      <c r="I4" s="44"/>
      <c r="J4" s="44"/>
      <c r="K4" s="44"/>
      <c r="L4" s="44"/>
      <c r="M4" s="44"/>
      <c r="N4" s="44"/>
      <c r="O4" s="44"/>
      <c r="P4" s="44"/>
      <c r="Q4" s="44"/>
      <c r="Y4" s="276"/>
      <c r="Z4" s="277"/>
      <c r="AA4" s="277"/>
      <c r="AB4" s="277"/>
      <c r="AC4" s="277"/>
      <c r="AD4" s="277"/>
      <c r="AE4" s="342"/>
      <c r="AF4" s="342"/>
    </row>
    <row r="5" spans="2:32" ht="15.65" customHeight="1" x14ac:dyDescent="0.25">
      <c r="B5" s="44"/>
      <c r="C5" s="45" t="s">
        <v>852</v>
      </c>
      <c r="D5" s="44"/>
      <c r="E5" s="44"/>
      <c r="F5" s="44"/>
      <c r="G5" s="44"/>
      <c r="H5" s="44"/>
      <c r="I5" s="44"/>
      <c r="J5" s="44"/>
      <c r="K5" s="44"/>
      <c r="L5" s="44"/>
      <c r="M5" s="44"/>
      <c r="N5" s="44"/>
      <c r="O5" s="44"/>
      <c r="P5" s="44"/>
      <c r="Q5" s="44"/>
      <c r="Y5" s="279" t="s">
        <v>72</v>
      </c>
      <c r="Z5" s="280"/>
      <c r="AA5" s="280"/>
      <c r="AB5" s="280"/>
      <c r="AC5" s="280"/>
      <c r="AD5" s="280"/>
      <c r="AE5" s="292"/>
      <c r="AF5" s="292"/>
    </row>
    <row r="6" spans="2:32" ht="15.65" customHeight="1" x14ac:dyDescent="0.25">
      <c r="B6" s="44"/>
      <c r="C6" s="44"/>
      <c r="D6" s="44"/>
      <c r="E6" s="44"/>
      <c r="F6" s="44"/>
      <c r="G6" s="44"/>
      <c r="H6" s="44"/>
      <c r="I6" s="44"/>
      <c r="J6" s="44"/>
      <c r="K6" s="44"/>
      <c r="L6" s="44"/>
      <c r="M6" s="44"/>
      <c r="N6" s="44"/>
      <c r="O6" s="44"/>
      <c r="P6" s="44"/>
      <c r="Q6" s="44"/>
      <c r="Y6" s="281"/>
      <c r="Z6" s="280"/>
      <c r="AA6" s="280"/>
      <c r="AB6" s="280"/>
      <c r="AC6" s="280"/>
      <c r="AD6" s="280"/>
      <c r="AE6" s="292"/>
      <c r="AF6" s="292"/>
    </row>
    <row r="7" spans="2:32" ht="15.65" customHeight="1" x14ac:dyDescent="0.25">
      <c r="Y7" s="263"/>
      <c r="Z7" s="91"/>
      <c r="AA7" s="91"/>
      <c r="AB7" s="91"/>
      <c r="AC7" s="91"/>
      <c r="AD7" s="91"/>
      <c r="AE7" s="91"/>
      <c r="AF7" s="218"/>
    </row>
    <row r="8" spans="2:32" ht="15.65" customHeight="1" x14ac:dyDescent="0.25">
      <c r="B8" s="121"/>
      <c r="C8" s="122"/>
      <c r="D8" s="122"/>
      <c r="E8" s="122"/>
      <c r="F8" s="122"/>
      <c r="G8" s="122"/>
      <c r="H8" s="122"/>
      <c r="I8" s="122"/>
      <c r="J8" s="122"/>
      <c r="K8" s="122"/>
      <c r="L8" s="122"/>
      <c r="M8" s="122"/>
      <c r="N8" s="122"/>
      <c r="O8" s="122"/>
      <c r="P8" s="122"/>
      <c r="Q8" s="123"/>
      <c r="Y8" s="263"/>
      <c r="Z8" s="91"/>
      <c r="AA8" s="91"/>
      <c r="AB8" s="91"/>
      <c r="AC8" s="91"/>
      <c r="AD8" s="91"/>
      <c r="AE8" s="91"/>
      <c r="AF8" s="218"/>
    </row>
    <row r="9" spans="2:32" ht="15.65" customHeight="1" x14ac:dyDescent="0.25">
      <c r="B9" s="124"/>
      <c r="C9" s="125" t="s">
        <v>30</v>
      </c>
      <c r="D9" s="126"/>
      <c r="E9" s="126"/>
      <c r="F9" s="126"/>
      <c r="G9" s="126"/>
      <c r="H9" s="126"/>
      <c r="I9" s="126"/>
      <c r="J9" s="126"/>
      <c r="K9" s="126"/>
      <c r="L9" s="126"/>
      <c r="M9" s="126"/>
      <c r="N9" s="126"/>
      <c r="O9" s="126"/>
      <c r="P9" s="126"/>
      <c r="Q9" s="127"/>
      <c r="Y9" s="217"/>
      <c r="Z9" s="91"/>
      <c r="AA9" s="91"/>
      <c r="AB9" s="91"/>
      <c r="AC9" s="91"/>
      <c r="AD9" s="91"/>
      <c r="AE9" s="91"/>
      <c r="AF9" s="218"/>
    </row>
    <row r="10" spans="2:32" ht="15.65" customHeight="1" x14ac:dyDescent="0.25">
      <c r="B10" s="171"/>
      <c r="C10" s="153"/>
      <c r="D10" s="153"/>
      <c r="E10" s="130" t="s">
        <v>177</v>
      </c>
      <c r="F10" s="130"/>
      <c r="G10" s="153"/>
      <c r="H10" s="175"/>
      <c r="I10" s="175"/>
      <c r="J10" s="172"/>
      <c r="K10" s="153"/>
      <c r="L10" s="153"/>
      <c r="M10" s="153"/>
      <c r="N10" s="153"/>
      <c r="O10" s="130" t="s">
        <v>778</v>
      </c>
      <c r="P10" s="153"/>
      <c r="Q10" s="174"/>
      <c r="Y10" s="217"/>
      <c r="Z10" s="91"/>
      <c r="AA10" s="91"/>
      <c r="AB10" s="91"/>
      <c r="AC10" s="91"/>
      <c r="AD10" s="91"/>
      <c r="AE10" s="91"/>
      <c r="AF10" s="218"/>
    </row>
    <row r="11" spans="2:32" ht="15.65" customHeight="1" x14ac:dyDescent="0.25">
      <c r="B11" s="46"/>
      <c r="C11" s="47"/>
      <c r="D11" s="47"/>
      <c r="E11" s="165"/>
      <c r="F11" s="47"/>
      <c r="G11" s="47"/>
      <c r="H11" s="48"/>
      <c r="I11" s="48"/>
      <c r="J11" s="47"/>
      <c r="K11" s="47"/>
      <c r="L11" s="47"/>
      <c r="M11" s="47"/>
      <c r="N11" s="47"/>
      <c r="O11" s="47"/>
      <c r="P11" s="47"/>
      <c r="Q11" s="49"/>
      <c r="Y11" s="217"/>
      <c r="Z11" s="91"/>
      <c r="AA11" s="91"/>
      <c r="AB11" s="91"/>
      <c r="AC11" s="91"/>
      <c r="AD11" s="91"/>
      <c r="AE11" s="91"/>
      <c r="AF11" s="218"/>
    </row>
    <row r="12" spans="2:32" ht="15.65" customHeight="1" x14ac:dyDescent="0.25">
      <c r="B12" s="46"/>
      <c r="C12" s="47" t="s">
        <v>853</v>
      </c>
      <c r="D12" s="47"/>
      <c r="E12" s="1027"/>
      <c r="F12" s="948" t="s">
        <v>183</v>
      </c>
      <c r="G12" s="47"/>
      <c r="H12" s="48"/>
      <c r="I12" s="48"/>
      <c r="J12" s="52"/>
      <c r="K12" s="47"/>
      <c r="L12" s="47"/>
      <c r="M12" s="47"/>
      <c r="N12" s="47"/>
      <c r="O12" s="47"/>
      <c r="P12" s="47"/>
      <c r="Q12" s="49"/>
      <c r="Y12" s="217"/>
      <c r="Z12" s="68"/>
      <c r="AA12" s="91"/>
      <c r="AB12" s="91"/>
      <c r="AC12" s="91"/>
      <c r="AD12" s="91"/>
      <c r="AE12" s="91"/>
      <c r="AF12" s="218"/>
    </row>
    <row r="13" spans="2:32" ht="15.65" customHeight="1" x14ac:dyDescent="0.25">
      <c r="B13" s="46"/>
      <c r="C13" s="47" t="s">
        <v>854</v>
      </c>
      <c r="D13" s="47"/>
      <c r="E13" s="1024"/>
      <c r="F13" s="157"/>
      <c r="G13" s="47"/>
      <c r="H13" s="48"/>
      <c r="I13" s="48"/>
      <c r="J13" s="52"/>
      <c r="K13" s="47"/>
      <c r="L13" s="47"/>
      <c r="M13" s="47"/>
      <c r="N13" s="47"/>
      <c r="O13" s="47"/>
      <c r="P13" s="47"/>
      <c r="Q13" s="49"/>
      <c r="Y13" s="217"/>
      <c r="Z13" s="68"/>
      <c r="AA13" s="91"/>
      <c r="AB13" s="91"/>
      <c r="AC13" s="91"/>
      <c r="AD13" s="91"/>
      <c r="AE13" s="91"/>
      <c r="AF13" s="218"/>
    </row>
    <row r="14" spans="2:32" ht="15.65" customHeight="1" x14ac:dyDescent="0.25">
      <c r="B14" s="46"/>
      <c r="C14" s="47" t="s">
        <v>855</v>
      </c>
      <c r="D14" s="47"/>
      <c r="E14" s="944"/>
      <c r="F14" s="51"/>
      <c r="G14" s="47"/>
      <c r="H14" s="236"/>
      <c r="I14" s="236"/>
      <c r="J14" s="236"/>
      <c r="K14" s="236"/>
      <c r="L14" s="47"/>
      <c r="M14" s="47"/>
      <c r="N14" s="47"/>
      <c r="O14" s="47"/>
      <c r="P14" s="47"/>
      <c r="Q14" s="49"/>
      <c r="Y14" s="282" t="s">
        <v>856</v>
      </c>
      <c r="Z14" s="282" t="s">
        <v>782</v>
      </c>
      <c r="AA14" s="282" t="s">
        <v>783</v>
      </c>
      <c r="AB14" s="282" t="s">
        <v>844</v>
      </c>
      <c r="AC14" s="91"/>
      <c r="AD14" s="91"/>
      <c r="AE14" s="91"/>
      <c r="AF14" s="218"/>
    </row>
    <row r="15" spans="2:32" customFormat="1" x14ac:dyDescent="0.25">
      <c r="B15" s="46"/>
      <c r="C15" s="47" t="s">
        <v>857</v>
      </c>
      <c r="D15" s="47"/>
      <c r="E15" s="942"/>
      <c r="F15" s="236"/>
      <c r="G15" s="47"/>
      <c r="H15" s="48"/>
      <c r="I15" s="48"/>
      <c r="J15" s="50"/>
      <c r="K15" s="47"/>
      <c r="L15" s="47"/>
      <c r="M15" s="47"/>
      <c r="N15" s="47"/>
      <c r="O15" s="47"/>
      <c r="P15" s="47"/>
      <c r="Q15" s="49"/>
      <c r="Y15" s="522">
        <f>E12*VLOOKUP(F12,massConv[],2,FALSE)</f>
        <v>0</v>
      </c>
      <c r="Z15" s="522" t="e">
        <f>IF(AND(E14="No", E15="No"),E16*VLOOKUP(F16,massConv[],2,FALSE),VLOOKUP(iq_selectedPathway,Table41[],2,FALSE))</f>
        <v>#N/A</v>
      </c>
      <c r="AA15" s="533" t="e">
        <f>IF(AND(E14="No",E15="No"),E17,VLOOKUP(iq_selectedPathway,Table41[#All],3,FALSE))</f>
        <v>#N/A</v>
      </c>
      <c r="AB15" s="522" t="e">
        <f>AA15*Z15</f>
        <v>#N/A</v>
      </c>
      <c r="AF15" s="261"/>
    </row>
    <row r="16" spans="2:32" customFormat="1" x14ac:dyDescent="0.25">
      <c r="B16" s="46"/>
      <c r="C16" s="47" t="s">
        <v>786</v>
      </c>
      <c r="D16" s="52"/>
      <c r="E16" s="527"/>
      <c r="F16" s="482"/>
      <c r="G16" s="47"/>
      <c r="H16" s="48"/>
      <c r="I16" s="48"/>
      <c r="J16" s="52"/>
      <c r="K16" s="47"/>
      <c r="L16" s="47"/>
      <c r="M16" s="47"/>
      <c r="N16" s="157"/>
      <c r="O16" s="47"/>
      <c r="P16" s="47"/>
      <c r="Q16" s="49"/>
      <c r="Y16" s="530"/>
      <c r="AF16" s="261"/>
    </row>
    <row r="17" spans="1:32" customFormat="1" x14ac:dyDescent="0.25">
      <c r="B17" s="46"/>
      <c r="C17" s="47" t="s">
        <v>787</v>
      </c>
      <c r="D17" s="47"/>
      <c r="E17" s="857"/>
      <c r="F17" s="858" t="s">
        <v>788</v>
      </c>
      <c r="G17" s="52"/>
      <c r="H17" s="48"/>
      <c r="I17" s="48"/>
      <c r="J17" s="52"/>
      <c r="K17" s="47"/>
      <c r="L17" s="47"/>
      <c r="M17" s="47"/>
      <c r="N17" s="150"/>
      <c r="O17" s="151" t="str">
        <f>IFERROR(AB15,'Hidden Lists and Summaries'!$C$158)</f>
        <v>Error -  Review inputs</v>
      </c>
      <c r="P17" s="152" t="s">
        <v>90</v>
      </c>
      <c r="Q17" s="49"/>
      <c r="Y17" s="530"/>
      <c r="AF17" s="261"/>
    </row>
    <row r="18" spans="1:32" ht="15.65" customHeight="1" x14ac:dyDescent="0.25">
      <c r="A18" s="70"/>
      <c r="B18" s="53"/>
      <c r="C18" s="54"/>
      <c r="D18" s="54"/>
      <c r="E18" s="54"/>
      <c r="F18" s="54"/>
      <c r="G18" s="54"/>
      <c r="H18" s="54"/>
      <c r="I18" s="54"/>
      <c r="J18" s="54"/>
      <c r="K18" s="54"/>
      <c r="L18" s="54"/>
      <c r="M18" s="54"/>
      <c r="N18" s="109" t="s">
        <v>120</v>
      </c>
      <c r="O18" s="72">
        <f>SUM(O17)</f>
        <v>0</v>
      </c>
      <c r="P18" s="110" t="s">
        <v>90</v>
      </c>
      <c r="Q18" s="55"/>
      <c r="Y18" s="217"/>
      <c r="Z18" s="91"/>
      <c r="AA18" s="91"/>
      <c r="AB18" s="91"/>
      <c r="AC18" s="91"/>
      <c r="AD18" s="91"/>
      <c r="AE18" s="91"/>
      <c r="AF18" s="218"/>
    </row>
    <row r="19" spans="1:32" customFormat="1" ht="12.5" x14ac:dyDescent="0.25">
      <c r="B19" s="56"/>
      <c r="C19" s="56"/>
      <c r="D19" s="56"/>
      <c r="E19" s="56"/>
      <c r="F19" s="56"/>
      <c r="G19" s="56"/>
      <c r="H19" s="56"/>
      <c r="I19" s="56"/>
      <c r="J19" s="56"/>
      <c r="K19" s="56"/>
      <c r="L19" s="56"/>
      <c r="M19" s="56"/>
      <c r="N19" s="56"/>
      <c r="O19" s="56"/>
      <c r="P19" s="56"/>
      <c r="Q19" s="56"/>
      <c r="Y19" s="263"/>
      <c r="AF19" s="261"/>
    </row>
    <row r="20" spans="1:32" customFormat="1" ht="12.5" x14ac:dyDescent="0.25">
      <c r="B20" s="121"/>
      <c r="C20" s="122"/>
      <c r="D20" s="122"/>
      <c r="E20" s="122"/>
      <c r="F20" s="122"/>
      <c r="G20" s="122"/>
      <c r="H20" s="122"/>
      <c r="I20" s="122"/>
      <c r="J20" s="122"/>
      <c r="K20" s="122"/>
      <c r="L20" s="122"/>
      <c r="M20" s="122"/>
      <c r="N20" s="122"/>
      <c r="O20" s="122"/>
      <c r="P20" s="122"/>
      <c r="Q20" s="123"/>
      <c r="Y20" s="263"/>
      <c r="AF20" s="261"/>
    </row>
    <row r="21" spans="1:32" customFormat="1" x14ac:dyDescent="0.25">
      <c r="B21" s="124"/>
      <c r="C21" s="125" t="s">
        <v>48</v>
      </c>
      <c r="D21" s="126"/>
      <c r="E21" s="132"/>
      <c r="F21" s="132"/>
      <c r="G21" s="126"/>
      <c r="H21" s="126"/>
      <c r="I21" s="126"/>
      <c r="J21" s="126"/>
      <c r="K21" s="126"/>
      <c r="L21" s="126"/>
      <c r="M21" s="126"/>
      <c r="N21" s="126"/>
      <c r="O21" s="126"/>
      <c r="P21" s="126"/>
      <c r="Q21" s="127"/>
      <c r="Y21" s="263"/>
      <c r="AF21" s="261"/>
    </row>
    <row r="22" spans="1:32" customFormat="1" x14ac:dyDescent="0.25">
      <c r="B22" s="171"/>
      <c r="C22" s="153"/>
      <c r="D22" s="153"/>
      <c r="E22" s="130" t="s">
        <v>31</v>
      </c>
      <c r="F22" s="130" t="s">
        <v>184</v>
      </c>
      <c r="G22" s="130"/>
      <c r="H22" s="131"/>
      <c r="I22" s="131"/>
      <c r="J22" s="172"/>
      <c r="K22" s="172"/>
      <c r="L22" s="172"/>
      <c r="M22" s="172"/>
      <c r="N22" s="172"/>
      <c r="O22" s="130"/>
      <c r="P22" s="172"/>
      <c r="Q22" s="173"/>
      <c r="Y22" s="263"/>
      <c r="AF22" s="261"/>
    </row>
    <row r="23" spans="1:32" customFormat="1" x14ac:dyDescent="0.25">
      <c r="B23" s="46"/>
      <c r="C23" s="47"/>
      <c r="D23" s="47"/>
      <c r="E23" s="47"/>
      <c r="F23" s="47"/>
      <c r="G23" s="47"/>
      <c r="H23" s="48"/>
      <c r="I23" s="48"/>
      <c r="J23" s="47"/>
      <c r="K23" s="47"/>
      <c r="L23" s="47"/>
      <c r="M23" s="47"/>
      <c r="N23" s="47"/>
      <c r="O23" s="47"/>
      <c r="P23" s="47"/>
      <c r="Q23" s="49"/>
      <c r="Y23" s="332" t="s">
        <v>858</v>
      </c>
      <c r="AF23" s="261"/>
    </row>
    <row r="24" spans="1:32" customFormat="1" x14ac:dyDescent="0.25">
      <c r="B24" s="46"/>
      <c r="C24" s="63" t="s">
        <v>859</v>
      </c>
      <c r="D24" s="47"/>
      <c r="E24" s="532"/>
      <c r="F24" s="559" t="s">
        <v>183</v>
      </c>
      <c r="G24" s="47"/>
      <c r="H24" s="48"/>
      <c r="I24" s="48"/>
      <c r="J24" s="47"/>
      <c r="K24" s="47"/>
      <c r="L24" s="47"/>
      <c r="M24" s="47"/>
      <c r="N24" s="63"/>
      <c r="O24" s="63"/>
      <c r="P24" s="63"/>
      <c r="Q24" s="49"/>
      <c r="Y24" s="323">
        <f>E24*VLOOKUP(F24,massConv[#All],2,FALSE)</f>
        <v>0</v>
      </c>
      <c r="AF24" s="261"/>
    </row>
    <row r="25" spans="1:32" customFormat="1" x14ac:dyDescent="0.25">
      <c r="B25" s="46"/>
      <c r="C25" s="63" t="s">
        <v>578</v>
      </c>
      <c r="D25" s="47"/>
      <c r="E25" s="483"/>
      <c r="F25" s="48"/>
      <c r="G25" s="47"/>
      <c r="H25" s="48"/>
      <c r="I25" s="48"/>
      <c r="J25" s="47"/>
      <c r="K25" s="47"/>
      <c r="L25" s="47"/>
      <c r="M25" s="47"/>
      <c r="N25" s="63"/>
      <c r="O25" s="63"/>
      <c r="P25" s="63"/>
      <c r="Q25" s="49"/>
      <c r="Y25" s="263"/>
      <c r="AF25" s="261"/>
    </row>
    <row r="26" spans="1:32" customFormat="1" x14ac:dyDescent="0.25">
      <c r="B26" s="46"/>
      <c r="C26" s="52" t="s">
        <v>188</v>
      </c>
      <c r="D26" s="47"/>
      <c r="E26" s="1528"/>
      <c r="F26" s="63"/>
      <c r="G26" s="47"/>
      <c r="H26" s="48"/>
      <c r="I26" s="48"/>
      <c r="J26" s="47"/>
      <c r="K26" s="47"/>
      <c r="L26" s="47"/>
      <c r="M26" s="47"/>
      <c r="N26" s="63"/>
      <c r="O26" s="63"/>
      <c r="P26" s="63"/>
      <c r="Q26" s="49"/>
      <c r="Y26" s="263"/>
      <c r="AF26" s="261"/>
    </row>
    <row r="27" spans="1:32" customFormat="1" x14ac:dyDescent="0.25">
      <c r="B27" s="46"/>
      <c r="C27" s="52" t="s">
        <v>190</v>
      </c>
      <c r="D27" s="47"/>
      <c r="E27" s="347"/>
      <c r="F27" s="63"/>
      <c r="G27" s="47"/>
      <c r="H27" s="48"/>
      <c r="I27" s="48"/>
      <c r="J27" s="47"/>
      <c r="K27" s="47"/>
      <c r="L27" s="47"/>
      <c r="M27" s="47"/>
      <c r="N27" s="63"/>
      <c r="O27" s="63"/>
      <c r="P27" s="63"/>
      <c r="Q27" s="49"/>
      <c r="Y27" s="263"/>
      <c r="AF27" s="261"/>
    </row>
    <row r="28" spans="1:32" customFormat="1" x14ac:dyDescent="0.25">
      <c r="B28" s="53"/>
      <c r="C28" s="65"/>
      <c r="D28" s="54"/>
      <c r="E28" s="54"/>
      <c r="F28" s="54"/>
      <c r="G28" s="54"/>
      <c r="H28" s="65"/>
      <c r="I28" s="65"/>
      <c r="J28" s="54"/>
      <c r="K28" s="54"/>
      <c r="L28" s="54"/>
      <c r="M28" s="54"/>
      <c r="N28" s="66"/>
      <c r="O28" s="67"/>
      <c r="P28" s="67"/>
      <c r="Q28" s="55"/>
      <c r="Y28" s="263"/>
      <c r="AF28" s="261"/>
    </row>
    <row r="29" spans="1:32" s="70" customFormat="1" ht="15.65" customHeight="1" x14ac:dyDescent="0.25">
      <c r="B29" s="56"/>
      <c r="C29" s="56"/>
      <c r="D29" s="56"/>
      <c r="E29" s="56"/>
      <c r="F29" s="56"/>
      <c r="G29" s="56"/>
      <c r="H29" s="68"/>
      <c r="I29" s="68"/>
      <c r="J29" s="56"/>
      <c r="K29" s="56"/>
      <c r="L29" s="56"/>
      <c r="M29" s="56"/>
      <c r="N29" s="69"/>
      <c r="O29" s="56"/>
      <c r="P29" s="56"/>
      <c r="Q29" s="56"/>
      <c r="Y29" s="219"/>
      <c r="Z29" s="68"/>
      <c r="AA29" s="68"/>
      <c r="AB29" s="68"/>
      <c r="AC29" s="68"/>
      <c r="AD29" s="68"/>
      <c r="AE29" s="68"/>
      <c r="AF29" s="220"/>
    </row>
    <row r="30" spans="1:32" ht="15.65" customHeight="1" x14ac:dyDescent="0.25">
      <c r="B30" s="121"/>
      <c r="C30" s="122"/>
      <c r="D30" s="122"/>
      <c r="E30" s="122"/>
      <c r="F30" s="122"/>
      <c r="G30" s="122"/>
      <c r="H30" s="122"/>
      <c r="I30" s="122"/>
      <c r="J30" s="122"/>
      <c r="K30" s="122"/>
      <c r="L30" s="122"/>
      <c r="M30" s="122"/>
      <c r="N30" s="122"/>
      <c r="O30" s="122"/>
      <c r="P30" s="122"/>
      <c r="Q30" s="123"/>
      <c r="Y30" s="217"/>
      <c r="Z30" s="91"/>
      <c r="AA30" s="91"/>
      <c r="AB30" s="91"/>
      <c r="AC30" s="91"/>
      <c r="AD30" s="91"/>
      <c r="AE30" s="91"/>
      <c r="AF30" s="218"/>
    </row>
    <row r="31" spans="1:32" ht="15.65" customHeight="1" x14ac:dyDescent="0.25">
      <c r="B31" s="124"/>
      <c r="C31" s="125" t="s">
        <v>197</v>
      </c>
      <c r="D31" s="126"/>
      <c r="E31" s="126"/>
      <c r="F31" s="126"/>
      <c r="G31" s="126"/>
      <c r="H31" s="126"/>
      <c r="I31" s="1879" t="s">
        <v>792</v>
      </c>
      <c r="J31" s="126"/>
      <c r="K31" s="126"/>
      <c r="L31" s="126"/>
      <c r="M31" s="126"/>
      <c r="N31" s="126"/>
      <c r="O31" s="126"/>
      <c r="P31" s="126"/>
      <c r="Q31" s="127"/>
      <c r="Y31" s="217"/>
      <c r="Z31" s="91"/>
      <c r="AA31" s="91"/>
      <c r="AB31" s="91"/>
      <c r="AC31" s="91"/>
      <c r="AD31" s="91"/>
      <c r="AE31" s="91"/>
      <c r="AF31" s="218"/>
    </row>
    <row r="32" spans="1:32" ht="15.65" customHeight="1" x14ac:dyDescent="0.25">
      <c r="B32" s="171"/>
      <c r="C32" s="153"/>
      <c r="D32" s="153"/>
      <c r="E32" s="130" t="s">
        <v>198</v>
      </c>
      <c r="F32" s="130" t="s">
        <v>199</v>
      </c>
      <c r="G32" s="130" t="s">
        <v>200</v>
      </c>
      <c r="H32" s="130" t="s">
        <v>184</v>
      </c>
      <c r="I32" s="1880"/>
      <c r="J32" s="338" t="s">
        <v>201</v>
      </c>
      <c r="K32" s="153"/>
      <c r="L32" s="153"/>
      <c r="M32" s="153"/>
      <c r="N32" s="153"/>
      <c r="O32" s="130" t="s">
        <v>82</v>
      </c>
      <c r="P32" s="153"/>
      <c r="Q32" s="174"/>
      <c r="Y32" s="282" t="s">
        <v>202</v>
      </c>
      <c r="Z32" s="283" t="s">
        <v>203</v>
      </c>
      <c r="AA32" s="283" t="s">
        <v>204</v>
      </c>
      <c r="AB32" s="283" t="s">
        <v>205</v>
      </c>
      <c r="AC32" s="283" t="s">
        <v>206</v>
      </c>
      <c r="AD32" s="283" t="s">
        <v>207</v>
      </c>
      <c r="AE32" s="291" t="s">
        <v>208</v>
      </c>
      <c r="AF32" s="218"/>
    </row>
    <row r="33" spans="2:39" ht="15.65" customHeight="1" x14ac:dyDescent="0.25">
      <c r="B33" s="46"/>
      <c r="C33" s="47"/>
      <c r="D33" s="47"/>
      <c r="E33" s="47"/>
      <c r="F33" s="47"/>
      <c r="G33" s="47"/>
      <c r="H33" s="47"/>
      <c r="I33" s="232"/>
      <c r="J33" s="200"/>
      <c r="K33" s="47"/>
      <c r="L33" s="47"/>
      <c r="M33" s="47"/>
      <c r="N33" s="896"/>
      <c r="O33" s="895" t="s">
        <v>257</v>
      </c>
      <c r="P33" s="898"/>
      <c r="Q33" s="49"/>
      <c r="Y33" s="282" t="s">
        <v>210</v>
      </c>
      <c r="Z33" s="283" t="s">
        <v>210</v>
      </c>
      <c r="AA33" s="283" t="s">
        <v>210</v>
      </c>
      <c r="AB33" s="283" t="s">
        <v>128</v>
      </c>
      <c r="AC33" s="340" t="s">
        <v>211</v>
      </c>
      <c r="AD33" s="283" t="s">
        <v>84</v>
      </c>
      <c r="AE33" s="291" t="s">
        <v>212</v>
      </c>
      <c r="AF33" s="218"/>
      <c r="AH33" s="1886" t="s">
        <v>189</v>
      </c>
      <c r="AI33" s="1887"/>
      <c r="AJ33" s="1887"/>
      <c r="AK33" s="1887"/>
      <c r="AL33" s="1887"/>
      <c r="AM33" s="1887"/>
    </row>
    <row r="34" spans="2:39" ht="15.65" customHeight="1" x14ac:dyDescent="0.25">
      <c r="B34" s="46"/>
      <c r="C34" s="63" t="s">
        <v>423</v>
      </c>
      <c r="D34" s="47"/>
      <c r="E34" s="1052"/>
      <c r="F34" s="1058"/>
      <c r="G34" s="348"/>
      <c r="H34" s="349"/>
      <c r="I34" s="1021"/>
      <c r="J34" s="490"/>
      <c r="K34" s="87"/>
      <c r="L34" s="48"/>
      <c r="M34" s="48"/>
      <c r="N34" s="106"/>
      <c r="O34" s="107">
        <f>IF(AND(F34="",G34="",H34="",I34=""),0,IFERROR(AA34*AB34+AD34*'Key Values'!$C$149,'Hidden Lists and Summaries'!$C$158))</f>
        <v>0</v>
      </c>
      <c r="P34" s="108" t="s">
        <v>90</v>
      </c>
      <c r="Q34" s="49"/>
      <c r="Y34" s="506" t="e">
        <f>IF(OR(($F34='Key Values'!$B$26),($F34='Key Values'!$B$27)),0,VLOOKUP(iq_location,TapWaterEmbodiedEmissions[#All],2,FALSE))</f>
        <v>#N/A</v>
      </c>
      <c r="Z34" s="485" t="e">
        <f>VLOOKUP(F34,WaterEmbodiedEmissions[#All],2,FALSE)</f>
        <v>#N/A</v>
      </c>
      <c r="AA34" s="485" t="e">
        <f>IF(I34&lt;&gt;"",I34,Y34+Z34)</f>
        <v>#N/A</v>
      </c>
      <c r="AB34" s="310" t="e">
        <f>VLOOKUP(H34,Table13[#All], 2, FALSE)*G34</f>
        <v>#N/A</v>
      </c>
      <c r="AC34" s="91" cm="1">
        <f t="array" ref="AC34">IF(OR(($F34='Key Values'!$B$26),($F34='Key Values'!$B$27)),PumpedWaterSupplyCosts[Pumping to Site (kWh/m3/km)],0)</f>
        <v>0</v>
      </c>
      <c r="AD34" s="91" t="e">
        <f>AE34*AC34*J34</f>
        <v>#N/A</v>
      </c>
      <c r="AE34" s="218" t="e">
        <f>G34*VLOOKUP(H34,Table13[#All], 3,FALSE)</f>
        <v>#N/A</v>
      </c>
      <c r="AF34" s="218"/>
      <c r="AH34" s="1886"/>
      <c r="AI34" s="1887"/>
      <c r="AJ34" s="1887"/>
      <c r="AK34" s="1887"/>
      <c r="AL34" s="1887"/>
      <c r="AM34" s="1887"/>
    </row>
    <row r="35" spans="2:39" ht="15.65" customHeight="1" x14ac:dyDescent="0.25">
      <c r="B35" s="46"/>
      <c r="C35" s="63" t="s">
        <v>424</v>
      </c>
      <c r="D35" s="47"/>
      <c r="E35" s="1053"/>
      <c r="F35" s="1059"/>
      <c r="G35" s="350"/>
      <c r="H35" s="351"/>
      <c r="I35" s="1022"/>
      <c r="J35" s="490">
        <v>25</v>
      </c>
      <c r="K35" s="87"/>
      <c r="L35" s="48"/>
      <c r="M35" s="48"/>
      <c r="N35" s="106"/>
      <c r="O35" s="107">
        <f>IF(AND(F35="",G35="",H35="",I35=""),0,IFERROR(AA35*AB35+AD35*'Key Values'!$C$149,'Hidden Lists and Summaries'!$C$158))</f>
        <v>0</v>
      </c>
      <c r="P35" s="108" t="s">
        <v>90</v>
      </c>
      <c r="Q35" s="49"/>
      <c r="Y35" s="507" t="e">
        <f>IF(OR(($F35='Key Values'!$B$26),($F35='Key Values'!$B$27)),0,VLOOKUP(iq_location,TapWaterEmbodiedEmissions[#All],2,FALSE))</f>
        <v>#N/A</v>
      </c>
      <c r="Z35" s="484" t="e">
        <f>VLOOKUP(F35,WaterEmbodiedEmissions[#All],2,FALSE)</f>
        <v>#N/A</v>
      </c>
      <c r="AA35" s="484" t="e">
        <f>IF(I35&lt;&gt;"",I35,Y35+Z35)</f>
        <v>#N/A</v>
      </c>
      <c r="AB35" s="284" t="e">
        <f>VLOOKUP(H35,Table13[#All], 2, FALSE)*G35</f>
        <v>#N/A</v>
      </c>
      <c r="AC35" s="91" cm="1">
        <f t="array" ref="AC35">IF(OR(($F35='Key Values'!$B$26),($F35='Key Values'!$B$27)),PumpedWaterSupplyCosts[Pumping to Site (kWh/m3/km)],0)</f>
        <v>0</v>
      </c>
      <c r="AD35" s="91" t="e">
        <f>AE35*AC35*J35</f>
        <v>#N/A</v>
      </c>
      <c r="AE35" s="218" t="e">
        <f>G35*VLOOKUP(H35,Table13[#All], 3,FALSE)</f>
        <v>#N/A</v>
      </c>
      <c r="AF35" s="218"/>
      <c r="AH35" s="1885" t="s">
        <v>191</v>
      </c>
      <c r="AI35" s="1885" t="s">
        <v>192</v>
      </c>
      <c r="AJ35" s="1885" t="s">
        <v>193</v>
      </c>
      <c r="AK35" s="1885" t="s">
        <v>194</v>
      </c>
      <c r="AL35" s="1885" t="s">
        <v>195</v>
      </c>
      <c r="AM35" s="1885" t="s">
        <v>196</v>
      </c>
    </row>
    <row r="36" spans="2:39" ht="15.65" customHeight="1" x14ac:dyDescent="0.25">
      <c r="B36" s="46"/>
      <c r="C36" s="63" t="s">
        <v>425</v>
      </c>
      <c r="D36" s="47"/>
      <c r="E36" s="1054"/>
      <c r="F36" s="1060"/>
      <c r="G36" s="352"/>
      <c r="H36" s="352"/>
      <c r="I36" s="1023"/>
      <c r="J36" s="490"/>
      <c r="K36" s="87"/>
      <c r="L36" s="48"/>
      <c r="M36" s="48"/>
      <c r="N36" s="106"/>
      <c r="O36" s="107">
        <f>IF(AND(F36="",G36="",H36="",I36=""),0,IFERROR(AA36*AB36+AD36*'Key Values'!$C$149,'Hidden Lists and Summaries'!$C$158))</f>
        <v>0</v>
      </c>
      <c r="P36" s="108" t="s">
        <v>90</v>
      </c>
      <c r="Q36" s="49"/>
      <c r="Y36" s="507" t="e">
        <f>IF(OR(($F36='Key Values'!$B$26),($F36='Key Values'!$B$27)),0,VLOOKUP(iq_location,TapWaterEmbodiedEmissions[#All],2,FALSE))</f>
        <v>#N/A</v>
      </c>
      <c r="Z36" s="508" t="e">
        <f>VLOOKUP(F36,WaterEmbodiedEmissions[#All],2,FALSE)</f>
        <v>#N/A</v>
      </c>
      <c r="AA36" s="484" t="e">
        <f>IF(I36&lt;&gt;"",I36,Y36+Z36)</f>
        <v>#N/A</v>
      </c>
      <c r="AB36" s="325" t="e">
        <f>VLOOKUP(H36,Table13[#All], 2, FALSE)*G36</f>
        <v>#N/A</v>
      </c>
      <c r="AC36" s="185" cm="1">
        <f t="array" ref="AC36">IF(OR(($F36='Key Values'!$B$26),($F36='Key Values'!$B$27)),PumpedWaterSupplyCosts[Pumping to Site (kWh/m3/km)],0)</f>
        <v>0</v>
      </c>
      <c r="AD36" s="185" t="e">
        <f>AE36*AC36*J36</f>
        <v>#N/A</v>
      </c>
      <c r="AE36" s="225" t="e">
        <f>G36*VLOOKUP(H36,Table13[#All], 3,FALSE)</f>
        <v>#N/A</v>
      </c>
      <c r="AF36" s="218"/>
      <c r="AH36" s="1885"/>
      <c r="AI36" s="1885"/>
      <c r="AJ36" s="1885"/>
      <c r="AK36" s="1885"/>
      <c r="AL36" s="1885"/>
      <c r="AM36" s="1885"/>
    </row>
    <row r="37" spans="2:39" ht="15.65" customHeight="1" x14ac:dyDescent="0.25">
      <c r="B37" s="53"/>
      <c r="C37" s="54"/>
      <c r="D37" s="54"/>
      <c r="E37" s="54"/>
      <c r="F37" s="54"/>
      <c r="G37" s="54"/>
      <c r="H37" s="65"/>
      <c r="I37" s="65"/>
      <c r="J37" s="54"/>
      <c r="K37" s="54"/>
      <c r="L37" s="54"/>
      <c r="M37" s="54"/>
      <c r="N37" s="109" t="s">
        <v>120</v>
      </c>
      <c r="O37" s="72">
        <f>SUM(O34:O36)</f>
        <v>0</v>
      </c>
      <c r="P37" s="110" t="s">
        <v>90</v>
      </c>
      <c r="Q37" s="55"/>
      <c r="Y37" s="274"/>
      <c r="Z37" s="91"/>
      <c r="AA37" s="104"/>
      <c r="AB37" s="91"/>
      <c r="AC37" s="91"/>
      <c r="AD37" s="91"/>
      <c r="AE37" s="91"/>
      <c r="AF37" s="218"/>
      <c r="AH37" s="274"/>
      <c r="AI37" s="104">
        <f>O37</f>
        <v>0</v>
      </c>
      <c r="AJ37" s="104"/>
      <c r="AK37" s="104" t="str">
        <f>'Hidden Lists and Summaries'!$B$5</f>
        <v>Embodied (Upstream)</v>
      </c>
      <c r="AL37" s="104"/>
      <c r="AM37" s="278" t="s">
        <v>214</v>
      </c>
    </row>
    <row r="38" spans="2:39" ht="15.65" customHeight="1" x14ac:dyDescent="0.25">
      <c r="B38" s="71"/>
      <c r="C38" s="71"/>
      <c r="D38" s="71"/>
      <c r="E38" s="71"/>
      <c r="F38" s="71"/>
      <c r="G38" s="71"/>
      <c r="H38" s="71"/>
      <c r="I38" s="71"/>
      <c r="J38" s="71"/>
      <c r="K38" s="71"/>
      <c r="L38" s="71"/>
      <c r="M38" s="71"/>
      <c r="N38" s="71"/>
      <c r="O38" s="71"/>
      <c r="P38" s="71"/>
      <c r="Q38" s="71"/>
      <c r="Y38" s="217"/>
      <c r="Z38" s="91"/>
      <c r="AA38" s="91"/>
      <c r="AB38" s="91"/>
      <c r="AC38" s="91"/>
      <c r="AD38" s="91"/>
      <c r="AE38" s="91"/>
      <c r="AF38" s="218"/>
      <c r="AH38" s="217"/>
      <c r="AI38" s="91"/>
      <c r="AJ38" s="91"/>
      <c r="AK38" s="91"/>
      <c r="AL38" s="91"/>
      <c r="AM38" s="218"/>
    </row>
    <row r="39" spans="2:39" ht="15.65" customHeight="1" x14ac:dyDescent="0.25">
      <c r="B39" s="121"/>
      <c r="C39" s="122"/>
      <c r="D39" s="122"/>
      <c r="E39" s="122"/>
      <c r="F39" s="169" t="s">
        <v>793</v>
      </c>
      <c r="G39" s="122"/>
      <c r="H39" s="122"/>
      <c r="I39" s="122"/>
      <c r="J39" s="122"/>
      <c r="K39" s="122"/>
      <c r="L39" s="122"/>
      <c r="M39" s="122"/>
      <c r="N39" s="122"/>
      <c r="O39" s="122"/>
      <c r="P39" s="122"/>
      <c r="Q39" s="123"/>
      <c r="Y39" s="217"/>
      <c r="Z39" s="91"/>
      <c r="AA39" s="91"/>
      <c r="AB39" s="91"/>
      <c r="AC39" s="91"/>
      <c r="AD39" s="91"/>
      <c r="AE39" s="91"/>
      <c r="AF39" s="218"/>
      <c r="AH39" s="217"/>
      <c r="AI39" s="91"/>
      <c r="AJ39" s="91"/>
      <c r="AK39" s="91"/>
      <c r="AL39" s="91"/>
      <c r="AM39" s="218"/>
    </row>
    <row r="40" spans="2:39" ht="15.65" customHeight="1" x14ac:dyDescent="0.25">
      <c r="B40" s="124"/>
      <c r="C40" s="125" t="s">
        <v>217</v>
      </c>
      <c r="D40" s="144"/>
      <c r="E40" s="144"/>
      <c r="F40" s="144"/>
      <c r="G40" s="144"/>
      <c r="H40" s="1879" t="s">
        <v>794</v>
      </c>
      <c r="I40" s="129"/>
      <c r="J40" s="129"/>
      <c r="K40" s="144"/>
      <c r="L40" s="144"/>
      <c r="M40" s="144"/>
      <c r="N40" s="144"/>
      <c r="O40" s="144"/>
      <c r="P40" s="144"/>
      <c r="Q40" s="127"/>
      <c r="Y40" s="217"/>
      <c r="Z40" s="91"/>
      <c r="AA40" s="91"/>
      <c r="AB40" s="91"/>
      <c r="AC40" s="91"/>
      <c r="AD40" s="91"/>
      <c r="AE40" s="91"/>
      <c r="AF40" s="218"/>
      <c r="AH40" s="217"/>
      <c r="AI40" s="91"/>
      <c r="AJ40" s="91"/>
      <c r="AK40" s="91"/>
      <c r="AL40" s="91"/>
      <c r="AM40" s="218"/>
    </row>
    <row r="41" spans="2:39" ht="15.65" customHeight="1" x14ac:dyDescent="0.25">
      <c r="B41" s="171"/>
      <c r="C41" s="153"/>
      <c r="D41" s="153"/>
      <c r="E41" s="130" t="s">
        <v>218</v>
      </c>
      <c r="F41" s="130" t="s">
        <v>200</v>
      </c>
      <c r="G41" s="130" t="s">
        <v>184</v>
      </c>
      <c r="H41" s="1880"/>
      <c r="I41" s="131" t="s">
        <v>201</v>
      </c>
      <c r="J41" s="175"/>
      <c r="K41" s="153"/>
      <c r="L41" s="153"/>
      <c r="M41" s="153"/>
      <c r="N41" s="153"/>
      <c r="O41" s="130" t="s">
        <v>82</v>
      </c>
      <c r="P41" s="153"/>
      <c r="Q41" s="174"/>
      <c r="Y41" s="285" t="s">
        <v>219</v>
      </c>
      <c r="Z41" s="73" t="s">
        <v>206</v>
      </c>
      <c r="AA41" s="283" t="s">
        <v>220</v>
      </c>
      <c r="AB41" s="283" t="s">
        <v>221</v>
      </c>
      <c r="AC41" s="283" t="s">
        <v>222</v>
      </c>
      <c r="AD41" s="91"/>
      <c r="AE41" s="91"/>
      <c r="AF41" s="218"/>
      <c r="AH41" s="217"/>
      <c r="AI41" s="91"/>
      <c r="AJ41" s="91"/>
      <c r="AK41" s="91"/>
      <c r="AL41" s="91"/>
      <c r="AM41" s="218"/>
    </row>
    <row r="42" spans="2:39" ht="15.65" customHeight="1" x14ac:dyDescent="0.25">
      <c r="B42" s="46"/>
      <c r="C42" s="47"/>
      <c r="D42" s="47"/>
      <c r="E42" s="47"/>
      <c r="F42" s="47"/>
      <c r="G42" s="47"/>
      <c r="H42" s="48"/>
      <c r="I42" s="48"/>
      <c r="J42" s="63"/>
      <c r="K42" s="63"/>
      <c r="L42" s="63"/>
      <c r="M42" s="63"/>
      <c r="N42" s="896"/>
      <c r="O42" s="895" t="s">
        <v>257</v>
      </c>
      <c r="P42" s="898"/>
      <c r="Q42" s="49"/>
      <c r="Y42" s="286" t="s">
        <v>223</v>
      </c>
      <c r="Z42" s="74" t="s">
        <v>211</v>
      </c>
      <c r="AA42" s="283" t="s">
        <v>84</v>
      </c>
      <c r="AB42" s="287"/>
      <c r="AC42" s="283" t="s">
        <v>224</v>
      </c>
      <c r="AD42" s="91"/>
      <c r="AE42" s="91"/>
      <c r="AF42" s="218"/>
      <c r="AH42" s="217"/>
      <c r="AI42" s="91"/>
      <c r="AJ42" s="91"/>
      <c r="AK42" s="91"/>
      <c r="AL42" s="91"/>
      <c r="AM42" s="218"/>
    </row>
    <row r="43" spans="2:39" ht="15.65" customHeight="1" x14ac:dyDescent="0.25">
      <c r="B43" s="46"/>
      <c r="C43" s="63" t="s">
        <v>502</v>
      </c>
      <c r="D43" s="47"/>
      <c r="E43" s="353"/>
      <c r="F43" s="354"/>
      <c r="G43" s="503"/>
      <c r="H43" s="505"/>
      <c r="I43" s="999"/>
      <c r="J43" s="57"/>
      <c r="K43" s="63"/>
      <c r="L43" s="63"/>
      <c r="M43" s="63"/>
      <c r="N43" s="106"/>
      <c r="O43" s="107">
        <f>IF(AND(F43="",G43="",I43=""),0,IFERROR(IF(H43&lt;&gt;"",AC43*AB43,AA43*'Key Values'!$C$149),'Hidden Lists and Summaries'!$C$158))</f>
        <v>0</v>
      </c>
      <c r="P43" s="108" t="s">
        <v>90</v>
      </c>
      <c r="Q43" s="49"/>
      <c r="Y43" s="512">
        <f>'Key Values'!$C$31</f>
        <v>9.2999999999999999E-2</v>
      </c>
      <c r="Z43" s="513">
        <f>'Key Values'!$D$31</f>
        <v>3.6700000000000003E-2</v>
      </c>
      <c r="AA43" s="268" t="e">
        <f>AB43*Y43+AB43*I43*Z43</f>
        <v>#N/A</v>
      </c>
      <c r="AB43" s="504" t="e">
        <f>VLOOKUP(G43,Table13[#All], 3, FALSE)*F43</f>
        <v>#N/A</v>
      </c>
      <c r="AC43" s="91">
        <f>H43</f>
        <v>0</v>
      </c>
      <c r="AD43" s="217"/>
      <c r="AE43" s="91"/>
      <c r="AF43" s="218"/>
      <c r="AH43" s="217"/>
      <c r="AI43" s="91"/>
      <c r="AJ43" s="91"/>
      <c r="AK43" s="91"/>
      <c r="AL43" s="91"/>
      <c r="AM43" s="218"/>
    </row>
    <row r="44" spans="2:39" ht="15.65" customHeight="1" x14ac:dyDescent="0.25">
      <c r="B44" s="53"/>
      <c r="C44" s="54"/>
      <c r="D44" s="54"/>
      <c r="E44" s="54"/>
      <c r="F44" s="54"/>
      <c r="G44" s="54"/>
      <c r="H44" s="61"/>
      <c r="I44" s="65"/>
      <c r="J44" s="61"/>
      <c r="K44" s="61"/>
      <c r="L44" s="61"/>
      <c r="M44" s="61"/>
      <c r="N44" s="109" t="s">
        <v>120</v>
      </c>
      <c r="O44" s="72">
        <f>SUM(O43)</f>
        <v>0</v>
      </c>
      <c r="P44" s="110" t="s">
        <v>90</v>
      </c>
      <c r="Q44" s="55"/>
      <c r="Y44" s="217"/>
      <c r="Z44" s="91"/>
      <c r="AA44" s="91"/>
      <c r="AB44" s="91"/>
      <c r="AC44" s="104"/>
      <c r="AD44" s="91"/>
      <c r="AE44" s="91"/>
      <c r="AF44" s="218"/>
      <c r="AH44" s="217"/>
      <c r="AI44" s="91">
        <f>O44</f>
        <v>0</v>
      </c>
      <c r="AJ44" s="91"/>
      <c r="AK44" s="91" t="str">
        <f>'Hidden Lists and Summaries'!$B$5</f>
        <v>Embodied (Upstream)</v>
      </c>
      <c r="AL44" s="91"/>
      <c r="AM44" s="218" t="s">
        <v>214</v>
      </c>
    </row>
    <row r="45" spans="2:39" ht="15.65" customHeight="1" x14ac:dyDescent="0.25">
      <c r="B45" s="71"/>
      <c r="C45" s="71"/>
      <c r="D45" s="71"/>
      <c r="E45" s="71"/>
      <c r="F45" s="71"/>
      <c r="G45" s="71"/>
      <c r="H45" s="71"/>
      <c r="I45" s="71"/>
      <c r="J45" s="71"/>
      <c r="K45" s="71"/>
      <c r="L45" s="71"/>
      <c r="M45" s="71"/>
      <c r="N45" s="71"/>
      <c r="O45" s="71"/>
      <c r="P45" s="71"/>
      <c r="Q45" s="71"/>
      <c r="Y45" s="217"/>
      <c r="Z45" s="91"/>
      <c r="AA45" s="91"/>
      <c r="AB45" s="91"/>
      <c r="AC45" s="91"/>
      <c r="AD45" s="91"/>
      <c r="AE45" s="91"/>
      <c r="AF45" s="218"/>
      <c r="AH45" s="217"/>
      <c r="AI45" s="91"/>
      <c r="AJ45" s="91"/>
      <c r="AK45" s="91"/>
      <c r="AL45" s="91"/>
      <c r="AM45" s="218"/>
    </row>
    <row r="46" spans="2:39" ht="15.65" customHeight="1" x14ac:dyDescent="0.25">
      <c r="B46" s="121"/>
      <c r="C46" s="122"/>
      <c r="D46" s="122"/>
      <c r="E46" s="122"/>
      <c r="F46" s="122"/>
      <c r="G46" s="122"/>
      <c r="H46" s="122"/>
      <c r="I46" s="122"/>
      <c r="J46" s="122"/>
      <c r="K46" s="122"/>
      <c r="L46" s="122"/>
      <c r="M46" s="122"/>
      <c r="N46" s="122"/>
      <c r="O46" s="122"/>
      <c r="P46" s="122"/>
      <c r="Q46" s="123"/>
      <c r="Y46" s="217"/>
      <c r="Z46" s="91"/>
      <c r="AA46" s="91"/>
      <c r="AB46" s="91"/>
      <c r="AC46" s="91"/>
      <c r="AD46" s="91"/>
      <c r="AE46" s="91"/>
      <c r="AF46" s="218"/>
      <c r="AH46" s="217"/>
      <c r="AI46" s="91"/>
      <c r="AJ46" s="91"/>
      <c r="AK46" s="91"/>
      <c r="AL46" s="91"/>
      <c r="AM46" s="218"/>
    </row>
    <row r="47" spans="2:39" ht="15" customHeight="1" x14ac:dyDescent="0.25">
      <c r="B47" s="124"/>
      <c r="C47" s="125" t="s">
        <v>227</v>
      </c>
      <c r="D47" s="126"/>
      <c r="E47" s="126"/>
      <c r="F47" s="126"/>
      <c r="G47" s="126"/>
      <c r="H47" s="126"/>
      <c r="I47" s="126"/>
      <c r="J47" s="126"/>
      <c r="K47" s="126"/>
      <c r="L47" s="126"/>
      <c r="M47" s="126"/>
      <c r="N47" s="126"/>
      <c r="O47" s="126"/>
      <c r="P47" s="126"/>
      <c r="Q47" s="127"/>
      <c r="Y47" s="217"/>
      <c r="Z47" s="91"/>
      <c r="AA47" s="91"/>
      <c r="AB47" s="91"/>
      <c r="AC47" s="91"/>
      <c r="AD47" s="91"/>
      <c r="AE47" s="91"/>
      <c r="AF47" s="218"/>
      <c r="AH47" s="217"/>
      <c r="AI47" s="91"/>
      <c r="AJ47" s="91"/>
      <c r="AK47" s="91"/>
      <c r="AL47" s="91"/>
      <c r="AM47" s="218"/>
    </row>
    <row r="48" spans="2:39" ht="15.65" customHeight="1" x14ac:dyDescent="0.25">
      <c r="B48" s="171"/>
      <c r="C48" s="153"/>
      <c r="D48" s="153"/>
      <c r="E48" s="130" t="s">
        <v>80</v>
      </c>
      <c r="F48" s="130" t="s">
        <v>81</v>
      </c>
      <c r="G48" s="175"/>
      <c r="H48" s="175"/>
      <c r="I48" s="175"/>
      <c r="J48" s="172"/>
      <c r="K48" s="153"/>
      <c r="L48" s="153"/>
      <c r="M48" s="153"/>
      <c r="N48" s="153"/>
      <c r="O48" s="130" t="s">
        <v>82</v>
      </c>
      <c r="P48" s="153"/>
      <c r="Q48" s="174"/>
      <c r="Y48" s="285" t="s">
        <v>228</v>
      </c>
      <c r="Z48" s="285" t="s">
        <v>229</v>
      </c>
      <c r="AA48" s="73" t="s">
        <v>230</v>
      </c>
      <c r="AB48" s="73" t="s">
        <v>231</v>
      </c>
      <c r="AC48" s="73" t="s">
        <v>232</v>
      </c>
      <c r="AD48" s="295" t="s">
        <v>233</v>
      </c>
      <c r="AE48" s="789" t="s">
        <v>234</v>
      </c>
      <c r="AF48" s="218"/>
      <c r="AH48" s="217"/>
      <c r="AI48" s="91"/>
      <c r="AJ48" s="91"/>
      <c r="AK48" s="91"/>
      <c r="AL48" s="91"/>
      <c r="AM48" s="218"/>
    </row>
    <row r="49" spans="1:39" ht="15.65" customHeight="1" x14ac:dyDescent="0.25">
      <c r="B49" s="158"/>
      <c r="C49" s="154"/>
      <c r="D49" s="154"/>
      <c r="E49" s="159"/>
      <c r="F49" s="159"/>
      <c r="G49" s="75"/>
      <c r="H49" s="75"/>
      <c r="I49" s="75"/>
      <c r="J49" s="161"/>
      <c r="K49" s="154"/>
      <c r="L49" s="154"/>
      <c r="M49" s="154"/>
      <c r="N49" s="154"/>
      <c r="O49" s="159"/>
      <c r="P49" s="154"/>
      <c r="Q49" s="170"/>
      <c r="Y49" s="286"/>
      <c r="Z49" s="286" t="s">
        <v>84</v>
      </c>
      <c r="AA49" s="73" t="s">
        <v>84</v>
      </c>
      <c r="AB49" s="74"/>
      <c r="AC49" s="74"/>
      <c r="AD49" s="295"/>
      <c r="AE49" s="789"/>
      <c r="AF49" s="218"/>
      <c r="AH49" s="217"/>
      <c r="AI49" s="91"/>
      <c r="AJ49" s="91"/>
      <c r="AK49" s="91"/>
      <c r="AL49" s="91"/>
      <c r="AM49" s="218"/>
    </row>
    <row r="50" spans="1:39" ht="15.65" customHeight="1" x14ac:dyDescent="0.25">
      <c r="B50" s="46"/>
      <c r="C50" s="815" t="s">
        <v>235</v>
      </c>
      <c r="D50" s="47"/>
      <c r="E50" s="552"/>
      <c r="F50" s="906" t="s">
        <v>86</v>
      </c>
      <c r="G50" s="75"/>
      <c r="H50" s="48"/>
      <c r="I50" s="48"/>
      <c r="J50" s="47"/>
      <c r="K50" s="47"/>
      <c r="L50" s="47"/>
      <c r="M50" s="47"/>
      <c r="N50" s="47"/>
      <c r="O50" s="47"/>
      <c r="P50" s="47"/>
      <c r="Q50" s="49"/>
      <c r="Y50" s="554" t="s">
        <v>120</v>
      </c>
      <c r="Z50" s="104">
        <f>E50*VLOOKUP(F50,EnergyConversionTable[],3)</f>
        <v>0</v>
      </c>
      <c r="AA50" s="104"/>
      <c r="AB50" s="278"/>
      <c r="AC50" s="274" t="s">
        <v>236</v>
      </c>
      <c r="AD50" s="553" t="str">
        <f>overall_locationBasedImportEmissions</f>
        <v>Error -  Review inputs</v>
      </c>
      <c r="AE50" s="278">
        <f>AB53</f>
        <v>0</v>
      </c>
      <c r="AF50" s="218"/>
      <c r="AH50" s="217"/>
      <c r="AI50" s="91"/>
      <c r="AJ50" s="91"/>
      <c r="AK50" s="91"/>
      <c r="AL50" s="91"/>
      <c r="AM50" s="218"/>
    </row>
    <row r="51" spans="1:39" x14ac:dyDescent="0.25">
      <c r="B51" s="46"/>
      <c r="C51" s="806" t="s">
        <v>237</v>
      </c>
      <c r="D51" s="47"/>
      <c r="E51" s="548"/>
      <c r="F51" s="907" t="s">
        <v>86</v>
      </c>
      <c r="G51" s="75" t="str">
        <f>IF('Electricity Usage'!$H$71&gt;1,'Hidden Lists and Summaries'!$D$160,"")</f>
        <v/>
      </c>
      <c r="H51" s="48"/>
      <c r="I51" s="48"/>
      <c r="J51" s="47"/>
      <c r="K51" s="47"/>
      <c r="L51" s="47"/>
      <c r="M51" s="47"/>
      <c r="N51" s="103" t="s">
        <v>236</v>
      </c>
      <c r="O51" s="111" t="str">
        <f>IFERROR(AD50*AE50,'Hidden Lists and Summaries'!$C$158)</f>
        <v>Error -  Review inputs</v>
      </c>
      <c r="P51" s="105" t="s">
        <v>90</v>
      </c>
      <c r="Q51" s="49"/>
      <c r="Y51" s="555" t="s">
        <v>238</v>
      </c>
      <c r="Z51" s="91">
        <f>E51*VLOOKUP(F51,EnergyConversionTable[],3)</f>
        <v>0</v>
      </c>
      <c r="AA51" s="91"/>
      <c r="AB51" s="218"/>
      <c r="AC51" s="217" t="s">
        <v>239</v>
      </c>
      <c r="AD51" s="499">
        <f>overall_ImportEmissions</f>
        <v>0</v>
      </c>
      <c r="AE51" s="218">
        <f>AB53</f>
        <v>0</v>
      </c>
      <c r="AF51" s="218"/>
      <c r="AH51" s="217"/>
      <c r="AI51" s="68">
        <f>O52</f>
        <v>0</v>
      </c>
      <c r="AJ51" s="68"/>
      <c r="AK51" s="68" t="s">
        <v>240</v>
      </c>
      <c r="AL51" s="91"/>
      <c r="AM51" s="218"/>
    </row>
    <row r="52" spans="1:39" ht="15.65" customHeight="1" x14ac:dyDescent="0.25">
      <c r="B52" s="46"/>
      <c r="C52" s="806"/>
      <c r="D52" s="97"/>
      <c r="E52" s="75"/>
      <c r="F52" s="75"/>
      <c r="G52" s="75"/>
      <c r="H52" s="48"/>
      <c r="I52" s="48"/>
      <c r="J52" s="48"/>
      <c r="K52" s="48"/>
      <c r="L52" s="47"/>
      <c r="M52" s="47"/>
      <c r="N52" s="106" t="s">
        <v>239</v>
      </c>
      <c r="O52" s="107">
        <f>IFERROR(AD51*AE51,'Hidden Lists and Summaries'!$C$158)</f>
        <v>0</v>
      </c>
      <c r="P52" s="108" t="s">
        <v>90</v>
      </c>
      <c r="Q52" s="49"/>
      <c r="Y52" s="555" t="s">
        <v>241</v>
      </c>
      <c r="Z52" s="91">
        <f>E51*VLOOKUP(F51,EnergyConversionTable[],3)</f>
        <v>0</v>
      </c>
      <c r="AA52" s="91">
        <f>overall_onsiteElecGenRenewables+overall_verifiedRenewableElectricityImported</f>
        <v>0</v>
      </c>
      <c r="AB52" s="218">
        <f>IF(AA52=0,0,Z52/AA52)</f>
        <v>0</v>
      </c>
      <c r="AC52" s="217" t="s">
        <v>242</v>
      </c>
      <c r="AD52" s="499">
        <f>total_embodiedEmissionsCombustionBasedElectricity</f>
        <v>0</v>
      </c>
      <c r="AE52" s="218">
        <f>AB54</f>
        <v>0</v>
      </c>
      <c r="AF52" s="218"/>
      <c r="AH52" s="217"/>
      <c r="AI52" s="68">
        <f>O53</f>
        <v>0</v>
      </c>
      <c r="AJ52" s="68"/>
      <c r="AK52" s="91" t="str">
        <f>'Hidden Lists and Summaries'!$B$5</f>
        <v>Embodied (Upstream)</v>
      </c>
      <c r="AL52" s="91"/>
      <c r="AM52" s="218" t="s">
        <v>243</v>
      </c>
    </row>
    <row r="53" spans="1:39" ht="15.65" customHeight="1" x14ac:dyDescent="0.25">
      <c r="B53" s="46"/>
      <c r="C53" s="805" t="s">
        <v>244</v>
      </c>
      <c r="D53" s="81"/>
      <c r="E53" s="552"/>
      <c r="F53" s="906" t="s">
        <v>86</v>
      </c>
      <c r="G53" s="75" t="str">
        <f>IF('Electricity Usage'!$E$71&gt;1,'Hidden Lists and Summaries'!$D$157,"")</f>
        <v/>
      </c>
      <c r="H53" s="48"/>
      <c r="I53" s="48"/>
      <c r="J53" s="47"/>
      <c r="K53" s="47"/>
      <c r="L53" s="47"/>
      <c r="M53" s="47"/>
      <c r="N53" s="106" t="s">
        <v>242</v>
      </c>
      <c r="O53" s="107">
        <f>IFERROR(AD52*AE52,'Hidden Lists and Summaries'!$C$158)</f>
        <v>0</v>
      </c>
      <c r="P53" s="108" t="s">
        <v>90</v>
      </c>
      <c r="Q53" s="49"/>
      <c r="Y53" s="555" t="s">
        <v>246</v>
      </c>
      <c r="Z53" s="91">
        <f>E53*VLOOKUP(F53,EnergyConversionTable[],3)</f>
        <v>0</v>
      </c>
      <c r="AA53" s="91">
        <f>overall_totalImportedElectricity</f>
        <v>0</v>
      </c>
      <c r="AB53" s="218">
        <f>IF(AA53=0,0,Z53/AA53)</f>
        <v>0</v>
      </c>
      <c r="AC53" s="224" t="s">
        <v>247</v>
      </c>
      <c r="AD53" s="557">
        <f>total_emissionsCombustionBasedElectricity</f>
        <v>0</v>
      </c>
      <c r="AE53" s="225">
        <f>AB54</f>
        <v>0</v>
      </c>
      <c r="AF53" s="218"/>
      <c r="AH53" s="217"/>
      <c r="AI53" s="68">
        <f>O54</f>
        <v>0</v>
      </c>
      <c r="AJ53" s="68"/>
      <c r="AK53" s="68" t="s">
        <v>248</v>
      </c>
      <c r="AL53" s="91"/>
      <c r="AM53" s="218"/>
    </row>
    <row r="54" spans="1:39" ht="15" customHeight="1" x14ac:dyDescent="0.25">
      <c r="B54" s="46"/>
      <c r="C54" s="805" t="s">
        <v>249</v>
      </c>
      <c r="D54" s="47"/>
      <c r="E54" s="548"/>
      <c r="F54" s="907" t="s">
        <v>86</v>
      </c>
      <c r="G54" s="75" t="str">
        <f>IF('Electricity Usage'!$F$71&gt;1,'Hidden Lists and Summaries'!$D$158,"")</f>
        <v/>
      </c>
      <c r="H54" s="48"/>
      <c r="I54" s="48"/>
      <c r="J54" s="47"/>
      <c r="K54" s="47"/>
      <c r="L54" s="47"/>
      <c r="M54" s="47"/>
      <c r="N54" s="106" t="s">
        <v>247</v>
      </c>
      <c r="O54" s="107">
        <f>IFERROR(AD53*AE53,'Hidden Lists and Summaries'!$C$158)</f>
        <v>0</v>
      </c>
      <c r="P54" s="108" t="s">
        <v>90</v>
      </c>
      <c r="Q54" s="49"/>
      <c r="Y54" s="556" t="s">
        <v>251</v>
      </c>
      <c r="Z54" s="185">
        <f>E54*VLOOKUP(F54,EnergyConversionTable[],3)</f>
        <v>0</v>
      </c>
      <c r="AA54" s="185">
        <f>overall_totalOnsiteCombustionElecGen</f>
        <v>0</v>
      </c>
      <c r="AB54" s="225">
        <f>IF(AA54=0,0,Z54/AA54)</f>
        <v>0</v>
      </c>
      <c r="AC54" s="91"/>
      <c r="AD54" s="91"/>
      <c r="AE54" s="553"/>
      <c r="AF54" s="218"/>
      <c r="AG54" s="91"/>
      <c r="AH54" s="217"/>
      <c r="AI54" s="68"/>
      <c r="AJ54" s="68"/>
      <c r="AK54" s="68"/>
      <c r="AL54" s="91"/>
      <c r="AM54" s="218"/>
    </row>
    <row r="55" spans="1:39" ht="15.65" customHeight="1" x14ac:dyDescent="0.25">
      <c r="B55" s="53"/>
      <c r="C55" s="54"/>
      <c r="D55" s="54"/>
      <c r="E55" s="54"/>
      <c r="F55" s="54"/>
      <c r="G55" s="54"/>
      <c r="H55" s="65"/>
      <c r="I55" s="65"/>
      <c r="J55" s="54"/>
      <c r="K55" s="54"/>
      <c r="L55" s="54"/>
      <c r="M55" s="54"/>
      <c r="N55" s="109" t="s">
        <v>120</v>
      </c>
      <c r="O55" s="72">
        <f>SUM(O51:O54)</f>
        <v>0</v>
      </c>
      <c r="P55" s="110" t="s">
        <v>90</v>
      </c>
      <c r="Q55" s="55"/>
      <c r="Y55" s="217"/>
      <c r="Z55" s="91"/>
      <c r="AA55" s="91"/>
      <c r="AB55" s="91"/>
      <c r="AC55" s="91"/>
      <c r="AD55" s="91"/>
      <c r="AE55" s="91"/>
      <c r="AF55" s="218"/>
      <c r="AH55" s="217"/>
      <c r="AI55" s="91"/>
      <c r="AJ55" s="91"/>
      <c r="AK55" s="91"/>
      <c r="AL55" s="91"/>
      <c r="AM55" s="218"/>
    </row>
    <row r="56" spans="1:39" ht="15.65" customHeight="1" x14ac:dyDescent="0.25">
      <c r="A56" s="70"/>
      <c r="B56" s="56"/>
      <c r="C56" s="56"/>
      <c r="D56" s="56"/>
      <c r="E56" s="56"/>
      <c r="F56" s="56"/>
      <c r="G56" s="56"/>
      <c r="H56" s="68"/>
      <c r="I56" s="68"/>
      <c r="J56" s="56"/>
      <c r="K56" s="56"/>
      <c r="L56" s="56"/>
      <c r="M56" s="56"/>
      <c r="N56" s="70"/>
      <c r="O56" s="70"/>
      <c r="P56" s="68"/>
      <c r="Q56" s="56"/>
      <c r="Y56" s="217"/>
      <c r="Z56" s="91"/>
      <c r="AA56" s="91"/>
      <c r="AB56" s="91"/>
      <c r="AC56" s="91"/>
      <c r="AD56" s="91"/>
      <c r="AE56" s="91"/>
      <c r="AF56" s="218"/>
      <c r="AH56" s="217"/>
      <c r="AI56" s="91"/>
      <c r="AJ56" s="91"/>
      <c r="AK56" s="91"/>
      <c r="AL56" s="91"/>
      <c r="AM56" s="218"/>
    </row>
    <row r="57" spans="1:39" ht="15.65" customHeight="1" x14ac:dyDescent="0.25">
      <c r="A57" s="70"/>
      <c r="B57" s="121"/>
      <c r="C57" s="122"/>
      <c r="D57" s="122"/>
      <c r="E57" s="122"/>
      <c r="F57" s="122"/>
      <c r="G57" s="122"/>
      <c r="H57" s="122"/>
      <c r="I57" s="122"/>
      <c r="J57" s="122"/>
      <c r="K57" s="122"/>
      <c r="L57" s="122"/>
      <c r="M57" s="122"/>
      <c r="N57" s="122"/>
      <c r="O57" s="122"/>
      <c r="P57" s="122"/>
      <c r="Q57" s="123"/>
      <c r="Y57" s="217"/>
      <c r="Z57" s="91"/>
      <c r="AA57" s="91"/>
      <c r="AB57" s="91"/>
      <c r="AC57" s="91"/>
      <c r="AD57" s="91"/>
      <c r="AE57" s="91"/>
      <c r="AF57" s="218"/>
      <c r="AH57" s="217"/>
      <c r="AI57" s="91"/>
      <c r="AJ57" s="91"/>
      <c r="AK57" s="91"/>
      <c r="AL57" s="91"/>
      <c r="AM57" s="218"/>
    </row>
    <row r="58" spans="1:39" ht="15.65" customHeight="1" x14ac:dyDescent="0.25">
      <c r="A58" s="70"/>
      <c r="B58" s="124"/>
      <c r="C58" s="125" t="s">
        <v>252</v>
      </c>
      <c r="D58" s="126"/>
      <c r="E58" s="126"/>
      <c r="F58" s="126"/>
      <c r="G58" s="126"/>
      <c r="H58" s="126"/>
      <c r="I58" s="126"/>
      <c r="J58" s="126"/>
      <c r="K58" s="126"/>
      <c r="L58" s="126"/>
      <c r="M58" s="126"/>
      <c r="N58" s="126"/>
      <c r="O58" s="126"/>
      <c r="P58" s="126"/>
      <c r="Q58" s="127"/>
      <c r="Y58" s="551"/>
      <c r="Z58" s="91"/>
      <c r="AA58" s="91"/>
      <c r="AB58" s="91"/>
      <c r="AC58" s="91"/>
      <c r="AD58" s="91"/>
      <c r="AE58" s="91"/>
      <c r="AF58" s="218"/>
      <c r="AH58" s="217"/>
      <c r="AI58" s="91"/>
      <c r="AJ58" s="91"/>
      <c r="AK58" s="91"/>
      <c r="AL58" s="91"/>
      <c r="AM58" s="218"/>
    </row>
    <row r="59" spans="1:39" ht="15.65" customHeight="1" x14ac:dyDescent="0.25">
      <c r="A59" s="70"/>
      <c r="B59" s="171"/>
      <c r="C59" s="153"/>
      <c r="D59" s="153"/>
      <c r="E59" s="130" t="s">
        <v>253</v>
      </c>
      <c r="F59" s="130" t="s">
        <v>81</v>
      </c>
      <c r="G59" s="175"/>
      <c r="H59" s="175"/>
      <c r="I59" s="175"/>
      <c r="J59" s="172"/>
      <c r="K59" s="153"/>
      <c r="L59" s="153"/>
      <c r="M59" s="153"/>
      <c r="N59" s="153"/>
      <c r="O59" s="130" t="s">
        <v>82</v>
      </c>
      <c r="P59" s="153"/>
      <c r="Q59" s="174"/>
      <c r="Y59" s="285" t="s">
        <v>254</v>
      </c>
      <c r="Z59" s="285" t="s">
        <v>503</v>
      </c>
      <c r="AA59" s="283" t="s">
        <v>256</v>
      </c>
      <c r="AB59" s="91"/>
      <c r="AC59" s="91"/>
      <c r="AD59" s="91"/>
      <c r="AE59" s="91"/>
      <c r="AF59" s="218"/>
      <c r="AH59" s="217"/>
      <c r="AI59" s="91"/>
      <c r="AJ59" s="91"/>
      <c r="AK59" s="91"/>
      <c r="AL59" s="91"/>
      <c r="AM59" s="218"/>
    </row>
    <row r="60" spans="1:39" ht="15.65" customHeight="1" x14ac:dyDescent="0.25">
      <c r="B60" s="209"/>
      <c r="C60" s="200"/>
      <c r="D60" s="200"/>
      <c r="E60" s="200"/>
      <c r="F60" s="200"/>
      <c r="G60" s="200"/>
      <c r="H60" s="79"/>
      <c r="I60" s="79"/>
      <c r="J60" s="200"/>
      <c r="K60" s="200"/>
      <c r="L60" s="200"/>
      <c r="M60" s="200"/>
      <c r="N60" s="210"/>
      <c r="O60" s="210"/>
      <c r="P60" s="210"/>
      <c r="Q60" s="212"/>
      <c r="Y60" s="286" t="s">
        <v>128</v>
      </c>
      <c r="Z60" s="286"/>
      <c r="AA60" s="283" t="s">
        <v>116</v>
      </c>
      <c r="AB60" s="91"/>
      <c r="AC60" s="91"/>
      <c r="AD60" s="91"/>
      <c r="AE60" s="91"/>
      <c r="AF60" s="218"/>
      <c r="AH60" s="217"/>
      <c r="AI60" s="91"/>
      <c r="AJ60" s="91"/>
      <c r="AK60" s="91"/>
      <c r="AL60" s="91"/>
      <c r="AM60" s="218"/>
    </row>
    <row r="61" spans="1:39" ht="15.65" customHeight="1" x14ac:dyDescent="0.25">
      <c r="B61" s="46"/>
      <c r="C61" s="97" t="s">
        <v>579</v>
      </c>
      <c r="D61" s="97"/>
      <c r="E61" s="549"/>
      <c r="F61" s="550" t="s">
        <v>90</v>
      </c>
      <c r="G61" s="1532" t="str">
        <f>IF(IFERROR(OR('Electricity Usage'!$G$71&gt;1,E61*VLOOKUP(F61,massConv[],3,FALSE)&gt;overall_CHPSteamGenerated),FALSE),'Hidden Lists and Summaries'!$D$159,"")</f>
        <v/>
      </c>
      <c r="H61" s="87"/>
      <c r="I61" s="87"/>
      <c r="J61" s="52"/>
      <c r="K61" s="52"/>
      <c r="L61" s="52"/>
      <c r="M61" s="52"/>
      <c r="N61" s="103" t="s">
        <v>257</v>
      </c>
      <c r="O61" s="111" t="str">
        <f>IFERROR($Z$61*AA61,'Hidden Lists and Summaries'!$C$158)</f>
        <v>Error -  Review inputs</v>
      </c>
      <c r="P61" s="105" t="s">
        <v>90</v>
      </c>
      <c r="Q61" s="49"/>
      <c r="Y61" s="274">
        <f>IFERROR(E61*VLOOKUP(F61,massConv[],3,FALSE),0)</f>
        <v>0</v>
      </c>
      <c r="Z61" s="104" t="e">
        <f>IF(overall_CHPSteamGenerated=0,0,Y61/overall_CHPSteamGenerated)</f>
        <v>#N/A</v>
      </c>
      <c r="AA61" s="278">
        <f>overall_embodiedCHPSteam</f>
        <v>0</v>
      </c>
      <c r="AB61" s="558" t="s">
        <v>257</v>
      </c>
      <c r="AC61" s="91"/>
      <c r="AD61"/>
      <c r="AE61" s="91"/>
      <c r="AF61" s="218"/>
      <c r="AH61" s="217"/>
      <c r="AI61" s="91" t="str">
        <f>O61</f>
        <v>Error -  Review inputs</v>
      </c>
      <c r="AJ61" s="91"/>
      <c r="AK61" s="91" t="str">
        <f>'Hidden Lists and Summaries'!$B$5</f>
        <v>Embodied (Upstream)</v>
      </c>
      <c r="AL61" s="91"/>
      <c r="AM61" s="218" t="s">
        <v>243</v>
      </c>
    </row>
    <row r="62" spans="1:39" ht="15.65" customHeight="1" x14ac:dyDescent="0.25">
      <c r="B62" s="46"/>
      <c r="C62" s="52"/>
      <c r="D62" s="52"/>
      <c r="E62" s="52"/>
      <c r="F62" s="52"/>
      <c r="G62" s="52"/>
      <c r="H62" s="87"/>
      <c r="I62" s="87"/>
      <c r="J62" s="52"/>
      <c r="K62" s="52"/>
      <c r="L62" s="52"/>
      <c r="M62" s="52"/>
      <c r="N62" s="106" t="s">
        <v>259</v>
      </c>
      <c r="O62" s="107" t="str">
        <f>IFERROR($Z$61*AA62,'Hidden Lists and Summaries'!$C$158)</f>
        <v>Error -  Review inputs</v>
      </c>
      <c r="P62" s="108" t="s">
        <v>90</v>
      </c>
      <c r="Q62" s="49"/>
      <c r="Y62" s="224"/>
      <c r="Z62" s="185"/>
      <c r="AA62" s="225">
        <f>overall_CHP_EmissionsSteam</f>
        <v>0</v>
      </c>
      <c r="AB62" s="558" t="s">
        <v>259</v>
      </c>
      <c r="AC62" s="91"/>
      <c r="AD62"/>
      <c r="AE62" s="91"/>
      <c r="AF62" s="218"/>
      <c r="AH62" s="217"/>
      <c r="AI62" s="91" t="str">
        <f>O62</f>
        <v>Error -  Review inputs</v>
      </c>
      <c r="AJ62" s="91"/>
      <c r="AK62" s="68" t="s">
        <v>248</v>
      </c>
      <c r="AL62" s="91"/>
      <c r="AM62" s="218"/>
    </row>
    <row r="63" spans="1:39" ht="15.65" customHeight="1" x14ac:dyDescent="0.25">
      <c r="B63" s="53"/>
      <c r="C63" s="54"/>
      <c r="D63" s="54"/>
      <c r="E63" s="54"/>
      <c r="F63" s="54"/>
      <c r="G63" s="54"/>
      <c r="H63" s="65"/>
      <c r="I63" s="65"/>
      <c r="J63" s="54"/>
      <c r="K63" s="54"/>
      <c r="L63" s="54"/>
      <c r="M63" s="54"/>
      <c r="N63" s="109" t="s">
        <v>120</v>
      </c>
      <c r="O63" s="72">
        <f>SUM(O61:O62)</f>
        <v>0</v>
      </c>
      <c r="P63" s="110" t="s">
        <v>90</v>
      </c>
      <c r="Q63" s="55"/>
      <c r="Y63" s="217"/>
      <c r="Z63" s="91"/>
      <c r="AA63" s="91"/>
      <c r="AB63" s="91"/>
      <c r="AC63" s="91"/>
      <c r="AD63" s="91"/>
      <c r="AE63" s="91"/>
      <c r="AF63" s="218"/>
      <c r="AH63" s="217"/>
      <c r="AI63" s="91"/>
      <c r="AJ63" s="91"/>
      <c r="AK63" s="91"/>
      <c r="AL63" s="91"/>
      <c r="AM63" s="218"/>
    </row>
    <row r="64" spans="1:39" ht="15.65" customHeight="1" x14ac:dyDescent="0.25">
      <c r="B64" s="71"/>
      <c r="C64" s="71"/>
      <c r="D64" s="71"/>
      <c r="E64" s="71"/>
      <c r="F64" s="71"/>
      <c r="G64" s="71"/>
      <c r="H64" s="71"/>
      <c r="I64" s="71"/>
      <c r="J64" s="71"/>
      <c r="K64" s="71"/>
      <c r="L64" s="71"/>
      <c r="M64" s="71"/>
      <c r="N64" s="208"/>
      <c r="O64" s="208"/>
      <c r="P64" s="71"/>
      <c r="Q64" s="71"/>
      <c r="Y64" s="217"/>
      <c r="Z64"/>
      <c r="AA64"/>
      <c r="AB64"/>
      <c r="AC64" s="91"/>
      <c r="AD64" s="91"/>
      <c r="AE64" s="91"/>
      <c r="AF64" s="218"/>
      <c r="AH64" s="217"/>
      <c r="AI64" s="91"/>
      <c r="AJ64" s="91"/>
      <c r="AK64" s="91"/>
      <c r="AL64" s="91"/>
      <c r="AM64" s="218"/>
    </row>
    <row r="65" spans="2:39" ht="15.65" customHeight="1" x14ac:dyDescent="0.25">
      <c r="B65" s="121"/>
      <c r="C65" s="122"/>
      <c r="D65" s="122"/>
      <c r="E65" s="122"/>
      <c r="F65" s="122"/>
      <c r="G65" s="169" t="s">
        <v>504</v>
      </c>
      <c r="H65" s="122"/>
      <c r="I65" s="122"/>
      <c r="J65" s="122"/>
      <c r="K65" s="122"/>
      <c r="L65" s="122"/>
      <c r="M65" s="122"/>
      <c r="N65" s="122"/>
      <c r="O65" s="122"/>
      <c r="P65" s="122"/>
      <c r="Q65" s="123"/>
      <c r="Y65" s="217"/>
      <c r="Z65" s="91"/>
      <c r="AA65" s="91"/>
      <c r="AB65" s="91"/>
      <c r="AC65" s="91"/>
      <c r="AD65" s="91"/>
      <c r="AE65" s="91"/>
      <c r="AF65" s="218"/>
      <c r="AG65" s="218"/>
      <c r="AH65" s="217"/>
      <c r="AI65" s="91"/>
      <c r="AJ65" s="91"/>
      <c r="AK65" s="91"/>
      <c r="AL65" s="91"/>
      <c r="AM65" s="218"/>
    </row>
    <row r="66" spans="2:39" ht="15.65" customHeight="1" x14ac:dyDescent="0.25">
      <c r="B66" s="124"/>
      <c r="C66" s="145" t="s">
        <v>261</v>
      </c>
      <c r="D66" s="144"/>
      <c r="E66" s="129"/>
      <c r="F66" s="144"/>
      <c r="G66" s="144"/>
      <c r="H66" s="1881" t="s">
        <v>795</v>
      </c>
      <c r="I66" s="144"/>
      <c r="J66" s="144"/>
      <c r="K66" s="144"/>
      <c r="L66" s="144"/>
      <c r="M66" s="144"/>
      <c r="N66" s="144"/>
      <c r="O66" s="144"/>
      <c r="P66" s="144"/>
      <c r="Q66" s="127"/>
      <c r="Y66" s="217"/>
      <c r="Z66" s="91"/>
      <c r="AA66" s="91"/>
      <c r="AB66" s="91"/>
      <c r="AC66" s="91"/>
      <c r="AD66" s="91"/>
      <c r="AE66" s="91"/>
      <c r="AF66" s="218"/>
      <c r="AH66" s="217"/>
      <c r="AI66" s="91"/>
      <c r="AJ66" s="91"/>
      <c r="AK66" s="91"/>
      <c r="AL66" s="91"/>
      <c r="AM66" s="218"/>
    </row>
    <row r="67" spans="2:39" ht="15.65" customHeight="1" x14ac:dyDescent="0.25">
      <c r="B67" s="171"/>
      <c r="C67" s="153"/>
      <c r="D67" s="153"/>
      <c r="E67" s="242" t="s">
        <v>198</v>
      </c>
      <c r="F67" s="130" t="s">
        <v>253</v>
      </c>
      <c r="G67" s="130" t="s">
        <v>184</v>
      </c>
      <c r="H67" s="1882"/>
      <c r="I67" s="131" t="s">
        <v>262</v>
      </c>
      <c r="J67" s="131" t="s">
        <v>263</v>
      </c>
      <c r="K67" s="153"/>
      <c r="L67" s="153"/>
      <c r="M67" s="153"/>
      <c r="N67" s="153"/>
      <c r="O67" s="130" t="s">
        <v>82</v>
      </c>
      <c r="P67" s="153"/>
      <c r="Q67" s="174"/>
      <c r="Y67" s="282" t="s">
        <v>122</v>
      </c>
      <c r="Z67" s="283" t="s">
        <v>264</v>
      </c>
      <c r="AA67" s="283" t="s">
        <v>265</v>
      </c>
      <c r="AB67" s="282" t="s">
        <v>266</v>
      </c>
      <c r="AC67" s="283" t="s">
        <v>123</v>
      </c>
      <c r="AD67" s="282" t="s">
        <v>77</v>
      </c>
      <c r="AE67" s="283" t="s">
        <v>267</v>
      </c>
      <c r="AF67" s="291" t="s">
        <v>268</v>
      </c>
      <c r="AH67" s="217"/>
      <c r="AI67" s="91"/>
      <c r="AJ67" s="91"/>
      <c r="AK67" s="91"/>
      <c r="AL67" s="91"/>
      <c r="AM67" s="218"/>
    </row>
    <row r="68" spans="2:39" ht="15.65" customHeight="1" x14ac:dyDescent="0.25">
      <c r="B68" s="46"/>
      <c r="C68" s="47"/>
      <c r="D68" s="47"/>
      <c r="E68" s="75"/>
      <c r="F68" s="47"/>
      <c r="G68" s="47"/>
      <c r="H68" s="47"/>
      <c r="I68" s="48"/>
      <c r="J68" s="48"/>
      <c r="K68" s="47"/>
      <c r="L68" s="47"/>
      <c r="M68" s="47"/>
      <c r="N68" s="896"/>
      <c r="O68" s="895" t="s">
        <v>269</v>
      </c>
      <c r="P68" s="898"/>
      <c r="Q68" s="49"/>
      <c r="Y68" s="282" t="s">
        <v>128</v>
      </c>
      <c r="Z68" s="283" t="s">
        <v>270</v>
      </c>
      <c r="AA68" s="283" t="s">
        <v>270</v>
      </c>
      <c r="AB68" s="282" t="s">
        <v>271</v>
      </c>
      <c r="AC68" s="282" t="s">
        <v>272</v>
      </c>
      <c r="AD68" s="282" t="s">
        <v>273</v>
      </c>
      <c r="AE68" s="283" t="s">
        <v>270</v>
      </c>
      <c r="AF68" s="291" t="s">
        <v>270</v>
      </c>
      <c r="AH68" s="217"/>
      <c r="AI68" s="91"/>
      <c r="AJ68" s="91"/>
      <c r="AK68" s="91"/>
      <c r="AL68" s="91"/>
      <c r="AM68" s="218"/>
    </row>
    <row r="69" spans="2:39" ht="15.65" customHeight="1" x14ac:dyDescent="0.25">
      <c r="B69" s="46"/>
      <c r="C69" s="63" t="s">
        <v>274</v>
      </c>
      <c r="D69" s="237"/>
      <c r="E69" s="751"/>
      <c r="F69" s="800"/>
      <c r="G69" s="800"/>
      <c r="H69" s="954"/>
      <c r="I69" s="955"/>
      <c r="J69" s="956"/>
      <c r="K69" s="47"/>
      <c r="L69" s="47"/>
      <c r="M69" s="47"/>
      <c r="N69" s="106"/>
      <c r="O69" s="107">
        <f>IF(AND(F69="",G69="",H69="",I69="",J69=""),0,IFERROR(AD69*Y69,'Hidden Lists and Summaries'!$C$158))</f>
        <v>0</v>
      </c>
      <c r="P69" s="108" t="s">
        <v>90</v>
      </c>
      <c r="Q69" s="49"/>
      <c r="Y69" s="274" t="e">
        <f>F69*VLOOKUP(G69,massConv[#All],3,FALSE)</f>
        <v>#N/A</v>
      </c>
      <c r="Z69" s="104" t="e">
        <f>VLOOKUP(I69,BoilerFuelReferenceTable[#All],2,FALSE)</f>
        <v>#N/A</v>
      </c>
      <c r="AA69" s="104" t="e">
        <f>IF(I69='Key Values'!$B$209,AE69,AF69)</f>
        <v>#N/A</v>
      </c>
      <c r="AB69" s="91" t="e">
        <f>Z69+AA69</f>
        <v>#N/A</v>
      </c>
      <c r="AC69" s="104" t="e">
        <f>VLOOKUP(J69,SteamProperties[#All],6,FALSE)</f>
        <v>#N/A</v>
      </c>
      <c r="AD69" s="837" t="e">
        <f>IF(H69="",AB69*AC69,H69)</f>
        <v>#N/A</v>
      </c>
      <c r="AE69" s="104">
        <f>IFERROR(VLOOKUP(iq_location,GaseousFuelEmbodiedEmissions[#All],IF(iq_metro,2,3),FALSE),0)</f>
        <v>0</v>
      </c>
      <c r="AF69" s="278" t="e">
        <f>VLOOKUP(I69,BoilerFuelReferenceTable[#All],3,FALSE)</f>
        <v>#N/A</v>
      </c>
      <c r="AH69" s="217"/>
      <c r="AI69" s="91"/>
      <c r="AJ69" s="91"/>
      <c r="AK69" s="91"/>
      <c r="AL69" s="91"/>
      <c r="AM69" s="218"/>
    </row>
    <row r="70" spans="2:39" ht="15.65" customHeight="1" x14ac:dyDescent="0.25">
      <c r="B70" s="46"/>
      <c r="C70" s="63" t="s">
        <v>275</v>
      </c>
      <c r="D70" s="237"/>
      <c r="E70" s="752"/>
      <c r="F70" s="801"/>
      <c r="G70" s="802"/>
      <c r="H70" s="957"/>
      <c r="I70" s="958"/>
      <c r="J70" s="959"/>
      <c r="K70" s="47"/>
      <c r="L70" s="47"/>
      <c r="M70" s="47"/>
      <c r="N70" s="106"/>
      <c r="O70" s="107">
        <f>IF(AND(F70="",G70="",H70="",I70="",J70=""),0,IFERROR(AD70*Y70,'Hidden Lists and Summaries'!$C$158))</f>
        <v>0</v>
      </c>
      <c r="P70" s="108" t="s">
        <v>90</v>
      </c>
      <c r="Q70" s="49"/>
      <c r="Y70" s="217" t="e">
        <f>F70*VLOOKUP(G70,massConv[#All],3,FALSE)</f>
        <v>#N/A</v>
      </c>
      <c r="Z70" s="91" t="e">
        <f>VLOOKUP(I70,BoilerFuelReferenceTable[#All],2,FALSE)</f>
        <v>#N/A</v>
      </c>
      <c r="AA70" s="91" t="e">
        <f>IF(I70='Key Values'!$B$209,AE70,AF70)</f>
        <v>#N/A</v>
      </c>
      <c r="AB70" s="91" t="e">
        <f>Z70+AA70</f>
        <v>#N/A</v>
      </c>
      <c r="AC70" s="91" t="e">
        <f>VLOOKUP(J70,SteamProperties[#All],6,FALSE)</f>
        <v>#N/A</v>
      </c>
      <c r="AD70" s="836" t="e">
        <f t="shared" ref="AD70:AD71" si="0">IF(H70="",AB70*AC70,H70)</f>
        <v>#N/A</v>
      </c>
      <c r="AE70" s="91">
        <f>IFERROR(VLOOKUP(iq_location,GaseousFuelEmbodiedEmissions[#All],IF(iq_metro,2,3),FALSE),0)</f>
        <v>0</v>
      </c>
      <c r="AF70" s="218" t="e">
        <f>VLOOKUP(I70,BoilerFuelReferenceTable[#All],3,FALSE)</f>
        <v>#N/A</v>
      </c>
      <c r="AH70" s="217"/>
      <c r="AI70" s="91"/>
      <c r="AJ70" s="91"/>
      <c r="AK70" s="91"/>
      <c r="AL70" s="91"/>
      <c r="AM70" s="218"/>
    </row>
    <row r="71" spans="2:39" ht="15.65" customHeight="1" x14ac:dyDescent="0.25">
      <c r="B71" s="46"/>
      <c r="C71" s="63" t="s">
        <v>276</v>
      </c>
      <c r="D71" s="237"/>
      <c r="E71" s="780"/>
      <c r="F71" s="803"/>
      <c r="G71" s="804"/>
      <c r="H71" s="960"/>
      <c r="I71" s="961"/>
      <c r="J71" s="962"/>
      <c r="K71" s="47"/>
      <c r="L71" s="47"/>
      <c r="M71" s="47"/>
      <c r="N71" s="106"/>
      <c r="O71" s="107">
        <f>IF(AND(F71="",G71="",H71="",I71="",J71=""),0,IFERROR(AD71*Y71,'Hidden Lists and Summaries'!$C$158))</f>
        <v>0</v>
      </c>
      <c r="P71" s="108" t="s">
        <v>90</v>
      </c>
      <c r="Q71" s="49"/>
      <c r="Y71" s="224" t="e">
        <f>F71*VLOOKUP(G71,massConv[#All],3,FALSE)</f>
        <v>#N/A</v>
      </c>
      <c r="Z71" s="185" t="e">
        <f>VLOOKUP(I71,BoilerFuelReferenceTable[#All],2,FALSE)</f>
        <v>#N/A</v>
      </c>
      <c r="AA71" s="185" t="e">
        <f>IF(I71='Key Values'!$B$209,AE71,AF71)</f>
        <v>#N/A</v>
      </c>
      <c r="AB71" s="185" t="e">
        <f>Z71+AA71</f>
        <v>#N/A</v>
      </c>
      <c r="AC71" s="185" t="e">
        <f>VLOOKUP(J71,SteamProperties[#All],6,FALSE)</f>
        <v>#N/A</v>
      </c>
      <c r="AD71" s="838" t="e">
        <f t="shared" si="0"/>
        <v>#N/A</v>
      </c>
      <c r="AE71" s="185">
        <f>IFERROR(VLOOKUP(iq_location,GaseousFuelEmbodiedEmissions[#All],IF(iq_metro,2,3),FALSE),0)</f>
        <v>0</v>
      </c>
      <c r="AF71" s="225" t="e">
        <f>VLOOKUP(I71,BoilerFuelReferenceTable[#All],3,FALSE)</f>
        <v>#N/A</v>
      </c>
      <c r="AH71" s="217"/>
      <c r="AI71" s="91"/>
      <c r="AJ71" s="91"/>
      <c r="AK71" s="91"/>
      <c r="AL71" s="91"/>
      <c r="AM71" s="218"/>
    </row>
    <row r="72" spans="2:39" ht="15.65" customHeight="1" x14ac:dyDescent="0.25">
      <c r="B72" s="53"/>
      <c r="C72" s="54"/>
      <c r="D72" s="54"/>
      <c r="E72" s="102"/>
      <c r="F72" s="54"/>
      <c r="G72" s="54"/>
      <c r="H72" s="65"/>
      <c r="I72" s="65"/>
      <c r="J72" s="54"/>
      <c r="K72" s="54"/>
      <c r="L72" s="54"/>
      <c r="M72" s="54"/>
      <c r="N72" s="109" t="s">
        <v>120</v>
      </c>
      <c r="O72" s="72">
        <f>SUM(O69:O71)</f>
        <v>0</v>
      </c>
      <c r="P72" s="110" t="s">
        <v>90</v>
      </c>
      <c r="Q72" s="55"/>
      <c r="Y72" s="217"/>
      <c r="Z72" s="91"/>
      <c r="AA72" s="91"/>
      <c r="AB72" s="91"/>
      <c r="AC72" s="91"/>
      <c r="AD72" s="91"/>
      <c r="AE72" s="104"/>
      <c r="AF72" s="218"/>
      <c r="AH72" s="217"/>
      <c r="AI72" s="91">
        <f>O72</f>
        <v>0</v>
      </c>
      <c r="AJ72" s="91"/>
      <c r="AK72" s="91" t="str">
        <f>'Hidden Lists and Summaries'!$B$6</f>
        <v>Steam Supply</v>
      </c>
      <c r="AL72" s="91"/>
      <c r="AM72" s="218"/>
    </row>
    <row r="73" spans="2:39" ht="15.65" customHeight="1" x14ac:dyDescent="0.25">
      <c r="B73" s="71"/>
      <c r="C73" s="71"/>
      <c r="D73" s="71"/>
      <c r="E73" s="71"/>
      <c r="F73" s="71"/>
      <c r="G73" s="71"/>
      <c r="H73" s="71"/>
      <c r="I73" s="71"/>
      <c r="J73" s="71"/>
      <c r="K73" s="71"/>
      <c r="L73" s="71"/>
      <c r="M73" s="71"/>
      <c r="N73" s="71"/>
      <c r="O73" s="71"/>
      <c r="P73" s="71"/>
      <c r="Q73" s="71"/>
      <c r="S73" s="101"/>
      <c r="Y73" s="217"/>
      <c r="Z73" s="91"/>
      <c r="AA73" s="91"/>
      <c r="AB73" s="91"/>
      <c r="AC73" s="91"/>
      <c r="AD73" s="91"/>
      <c r="AE73" s="91"/>
      <c r="AF73" s="218"/>
      <c r="AH73" s="217"/>
      <c r="AI73" s="91"/>
      <c r="AJ73" s="91"/>
      <c r="AK73" s="91"/>
      <c r="AL73" s="91"/>
      <c r="AM73" s="218"/>
    </row>
    <row r="74" spans="2:39" ht="15.65" customHeight="1" x14ac:dyDescent="0.25">
      <c r="B74" s="133"/>
      <c r="C74" s="134"/>
      <c r="D74" s="134"/>
      <c r="E74" s="134"/>
      <c r="F74" s="134"/>
      <c r="G74" s="134"/>
      <c r="H74" s="134"/>
      <c r="I74" s="134"/>
      <c r="J74" s="134"/>
      <c r="K74" s="134"/>
      <c r="L74" s="134"/>
      <c r="M74" s="134"/>
      <c r="N74" s="134"/>
      <c r="O74" s="134"/>
      <c r="P74" s="134"/>
      <c r="Q74" s="135"/>
      <c r="S74" s="101"/>
      <c r="Y74" s="217"/>
      <c r="Z74" s="91"/>
      <c r="AA74" s="91"/>
      <c r="AB74" s="91"/>
      <c r="AC74" s="91"/>
      <c r="AD74" s="91"/>
      <c r="AE74" s="91"/>
      <c r="AF74" s="218"/>
      <c r="AH74" s="217"/>
      <c r="AI74" s="91"/>
      <c r="AJ74" s="91"/>
      <c r="AK74" s="91"/>
      <c r="AL74" s="91"/>
      <c r="AM74" s="218"/>
    </row>
    <row r="75" spans="2:39" ht="15.65" customHeight="1" x14ac:dyDescent="0.25">
      <c r="B75" s="136"/>
      <c r="C75" s="137" t="s">
        <v>277</v>
      </c>
      <c r="D75" s="138"/>
      <c r="E75" s="138"/>
      <c r="F75" s="138"/>
      <c r="G75" s="138"/>
      <c r="H75" s="1879" t="s">
        <v>796</v>
      </c>
      <c r="I75" s="138"/>
      <c r="J75" s="138"/>
      <c r="K75" s="138"/>
      <c r="L75" s="138"/>
      <c r="M75" s="138"/>
      <c r="N75" s="138"/>
      <c r="O75" s="138"/>
      <c r="P75" s="138"/>
      <c r="Q75" s="140"/>
      <c r="S75" s="101"/>
      <c r="Y75" s="217"/>
      <c r="Z75" s="91"/>
      <c r="AA75" s="91"/>
      <c r="AB75" s="91"/>
      <c r="AC75" s="91"/>
      <c r="AD75" s="91"/>
      <c r="AE75" s="91"/>
      <c r="AF75" s="218"/>
      <c r="AH75" s="217"/>
      <c r="AI75" s="91"/>
      <c r="AJ75" s="91"/>
      <c r="AK75" s="91"/>
      <c r="AL75" s="91"/>
      <c r="AM75" s="218"/>
    </row>
    <row r="76" spans="2:39" ht="15.65" customHeight="1" x14ac:dyDescent="0.25">
      <c r="B76" s="176"/>
      <c r="C76" s="177"/>
      <c r="D76" s="177"/>
      <c r="E76" s="131" t="s">
        <v>278</v>
      </c>
      <c r="F76" s="131" t="s">
        <v>279</v>
      </c>
      <c r="G76" s="130" t="s">
        <v>184</v>
      </c>
      <c r="H76" s="1880"/>
      <c r="I76" s="177"/>
      <c r="J76" s="177"/>
      <c r="K76" s="177"/>
      <c r="L76" s="177"/>
      <c r="M76" s="177"/>
      <c r="N76" s="177"/>
      <c r="O76" s="130" t="s">
        <v>82</v>
      </c>
      <c r="P76" s="177"/>
      <c r="Q76" s="178"/>
      <c r="S76" s="101"/>
      <c r="Y76" s="343" t="s">
        <v>77</v>
      </c>
      <c r="Z76" s="315" t="s">
        <v>94</v>
      </c>
      <c r="AA76" s="91"/>
      <c r="AB76" s="91"/>
      <c r="AC76" s="91"/>
      <c r="AD76" s="91"/>
      <c r="AE76" s="91"/>
      <c r="AF76" s="218"/>
      <c r="AH76" s="217"/>
      <c r="AI76" s="91"/>
      <c r="AJ76" s="91"/>
      <c r="AK76" s="91"/>
      <c r="AL76" s="91"/>
      <c r="AM76" s="218"/>
    </row>
    <row r="77" spans="2:39" ht="15.65" customHeight="1" x14ac:dyDescent="0.25">
      <c r="B77" s="77"/>
      <c r="C77" s="78"/>
      <c r="D77" s="78"/>
      <c r="E77" s="78"/>
      <c r="F77" s="78"/>
      <c r="G77" s="78"/>
      <c r="H77" s="78"/>
      <c r="I77" s="78"/>
      <c r="J77" s="78"/>
      <c r="K77" s="78"/>
      <c r="L77" s="78"/>
      <c r="M77" s="78"/>
      <c r="N77" s="78"/>
      <c r="O77" s="78"/>
      <c r="P77" s="78"/>
      <c r="Q77" s="80"/>
      <c r="S77" s="101"/>
      <c r="Y77" s="282" t="s">
        <v>280</v>
      </c>
      <c r="Z77" s="291" t="s">
        <v>281</v>
      </c>
      <c r="AA77" s="91"/>
      <c r="AB77" s="91"/>
      <c r="AC77" s="91"/>
      <c r="AD77" s="91"/>
      <c r="AE77" s="91"/>
      <c r="AF77" s="218"/>
      <c r="AH77" s="217"/>
      <c r="AI77" s="91"/>
      <c r="AJ77" s="91"/>
      <c r="AK77" s="91"/>
      <c r="AL77" s="91"/>
      <c r="AM77" s="218"/>
    </row>
    <row r="78" spans="2:39" ht="15.65" customHeight="1" x14ac:dyDescent="0.25">
      <c r="B78" s="57"/>
      <c r="C78" s="58" t="s">
        <v>282</v>
      </c>
      <c r="D78" s="58"/>
      <c r="E78" s="361"/>
      <c r="F78" s="362"/>
      <c r="G78" s="363"/>
      <c r="H78" s="364"/>
      <c r="I78" s="58"/>
      <c r="J78" s="58"/>
      <c r="K78" s="58"/>
      <c r="L78" s="58"/>
      <c r="M78" s="58"/>
      <c r="N78" s="1040" t="str">
        <f>IF(F78="","",F78)</f>
        <v/>
      </c>
      <c r="O78" s="111">
        <f>IF(AND(F78="",G78="",H78=""),0,IFERROR(Y78*Z78,'Hidden Lists and Summaries'!$C$158))</f>
        <v>0</v>
      </c>
      <c r="P78" s="105" t="s">
        <v>90</v>
      </c>
      <c r="Q78" s="59"/>
      <c r="S78" s="101"/>
      <c r="Y78" s="217">
        <f>H78</f>
        <v>0</v>
      </c>
      <c r="Z78" s="218">
        <f>F78</f>
        <v>0</v>
      </c>
      <c r="AA78" s="91"/>
      <c r="AB78" s="91"/>
      <c r="AC78" s="91"/>
      <c r="AD78" s="91"/>
      <c r="AE78" s="91"/>
      <c r="AF78" s="218"/>
      <c r="AH78" s="217"/>
      <c r="AI78" s="91"/>
      <c r="AJ78" s="91"/>
      <c r="AK78" s="91"/>
      <c r="AL78" s="91"/>
      <c r="AM78" s="218"/>
    </row>
    <row r="79" spans="2:39" ht="15.65" customHeight="1" x14ac:dyDescent="0.25">
      <c r="B79" s="57"/>
      <c r="C79" s="58" t="s">
        <v>283</v>
      </c>
      <c r="D79" s="58"/>
      <c r="E79" s="365"/>
      <c r="F79" s="366"/>
      <c r="G79" s="366"/>
      <c r="H79" s="367"/>
      <c r="I79" s="58"/>
      <c r="J79" s="58"/>
      <c r="K79" s="58"/>
      <c r="L79" s="58"/>
      <c r="M79" s="58"/>
      <c r="N79" s="1038" t="str">
        <f t="shared" ref="N79:N81" si="1">IF(F79="","",F79)</f>
        <v/>
      </c>
      <c r="O79" s="107">
        <f>IF(AND(F79="",G79="",H79=""),0,IFERROR(Y79*Z79,'Hidden Lists and Summaries'!$C$158))</f>
        <v>0</v>
      </c>
      <c r="P79" s="108" t="s">
        <v>90</v>
      </c>
      <c r="Q79" s="59"/>
      <c r="S79" s="101"/>
      <c r="Y79" s="217">
        <f>H79</f>
        <v>0</v>
      </c>
      <c r="Z79" s="218">
        <f>F79</f>
        <v>0</v>
      </c>
      <c r="AA79" s="91"/>
      <c r="AB79" s="91"/>
      <c r="AC79" s="91"/>
      <c r="AD79" s="91"/>
      <c r="AE79" s="91"/>
      <c r="AF79" s="218"/>
      <c r="AH79" s="217"/>
      <c r="AI79" s="91"/>
      <c r="AJ79" s="91"/>
      <c r="AK79" s="91"/>
      <c r="AL79" s="91"/>
      <c r="AM79" s="218"/>
    </row>
    <row r="80" spans="2:39" ht="15.65" customHeight="1" x14ac:dyDescent="0.25">
      <c r="B80" s="57"/>
      <c r="C80" s="58" t="s">
        <v>284</v>
      </c>
      <c r="D80" s="58"/>
      <c r="E80" s="368"/>
      <c r="F80" s="366"/>
      <c r="G80" s="366"/>
      <c r="H80" s="369"/>
      <c r="I80" s="58"/>
      <c r="J80" s="58"/>
      <c r="K80" s="58"/>
      <c r="L80" s="58"/>
      <c r="M80" s="58"/>
      <c r="N80" s="1039" t="str">
        <f t="shared" si="1"/>
        <v/>
      </c>
      <c r="O80" s="107">
        <f>IF(AND(F80="",G80="",H80=""),0,IFERROR(Y80*Z80,'Hidden Lists and Summaries'!$C$158))</f>
        <v>0</v>
      </c>
      <c r="P80" s="108" t="s">
        <v>90</v>
      </c>
      <c r="Q80" s="59"/>
      <c r="S80" s="101"/>
      <c r="Y80" s="217">
        <f>H80</f>
        <v>0</v>
      </c>
      <c r="Z80" s="218">
        <f>F80</f>
        <v>0</v>
      </c>
      <c r="AA80" s="91"/>
      <c r="AB80" s="91"/>
      <c r="AC80" s="91"/>
      <c r="AD80" s="91"/>
      <c r="AE80" s="91"/>
      <c r="AF80" s="218"/>
      <c r="AH80" s="217"/>
      <c r="AI80" s="91"/>
      <c r="AJ80" s="91"/>
      <c r="AK80" s="91"/>
      <c r="AL80" s="91"/>
      <c r="AM80" s="218"/>
    </row>
    <row r="81" spans="2:39" ht="15.65" customHeight="1" x14ac:dyDescent="0.25">
      <c r="B81" s="57"/>
      <c r="C81" s="58" t="s">
        <v>285</v>
      </c>
      <c r="D81" s="58"/>
      <c r="E81" s="370"/>
      <c r="F81" s="371"/>
      <c r="G81" s="371"/>
      <c r="H81" s="372"/>
      <c r="I81" s="58"/>
      <c r="J81" s="58"/>
      <c r="K81" s="58"/>
      <c r="L81" s="58"/>
      <c r="M81" s="58"/>
      <c r="N81" s="1038" t="str">
        <f t="shared" si="1"/>
        <v/>
      </c>
      <c r="O81" s="107">
        <f>IF(AND(F81="",G81="",H81=""),0,IFERROR(Y81*Z81,'Hidden Lists and Summaries'!$C$158))</f>
        <v>0</v>
      </c>
      <c r="P81" s="108" t="s">
        <v>90</v>
      </c>
      <c r="Q81" s="59"/>
      <c r="S81" s="101"/>
      <c r="Y81" s="224">
        <f>H81</f>
        <v>0</v>
      </c>
      <c r="Z81" s="225">
        <f>F81</f>
        <v>0</v>
      </c>
      <c r="AA81" s="91"/>
      <c r="AB81" s="91"/>
      <c r="AC81" s="91"/>
      <c r="AD81" s="91"/>
      <c r="AE81" s="91"/>
      <c r="AF81" s="218"/>
      <c r="AH81" s="217"/>
      <c r="AI81" s="91"/>
      <c r="AJ81" s="91"/>
      <c r="AK81" s="91"/>
      <c r="AL81" s="91"/>
      <c r="AM81" s="218"/>
    </row>
    <row r="82" spans="2:39" ht="15.65" customHeight="1" x14ac:dyDescent="0.25">
      <c r="B82" s="60"/>
      <c r="C82" s="61"/>
      <c r="D82" s="61"/>
      <c r="E82" s="61"/>
      <c r="F82" s="61"/>
      <c r="G82" s="61"/>
      <c r="H82" s="61"/>
      <c r="I82" s="61"/>
      <c r="J82" s="61"/>
      <c r="K82" s="61"/>
      <c r="L82" s="61"/>
      <c r="M82" s="61"/>
      <c r="N82" s="333" t="s">
        <v>120</v>
      </c>
      <c r="O82" s="334">
        <f>SUM(O78:O81)</f>
        <v>0</v>
      </c>
      <c r="P82" s="335" t="s">
        <v>90</v>
      </c>
      <c r="Q82" s="62"/>
      <c r="S82" s="101"/>
      <c r="Y82" s="217"/>
      <c r="Z82" s="91"/>
      <c r="AA82" s="91"/>
      <c r="AB82" s="91"/>
      <c r="AC82" s="91"/>
      <c r="AD82" s="91"/>
      <c r="AE82" s="91"/>
      <c r="AF82" s="218"/>
      <c r="AH82" s="217"/>
      <c r="AI82" s="91">
        <f>O82</f>
        <v>0</v>
      </c>
      <c r="AJ82" s="91"/>
      <c r="AK82" s="91" t="str">
        <f>'Hidden Lists and Summaries'!$B$5</f>
        <v>Embodied (Upstream)</v>
      </c>
      <c r="AL82" s="91"/>
      <c r="AM82" s="218" t="s">
        <v>506</v>
      </c>
    </row>
    <row r="83" spans="2:39" s="70" customFormat="1" ht="15.65" customHeight="1" x14ac:dyDescent="0.25">
      <c r="B83" s="491"/>
      <c r="C83" s="56"/>
      <c r="D83" s="56"/>
      <c r="E83" s="56"/>
      <c r="F83" s="56"/>
      <c r="G83" s="56"/>
      <c r="H83" s="56"/>
      <c r="I83" s="56"/>
      <c r="J83" s="56"/>
      <c r="K83" s="56"/>
      <c r="L83" s="56"/>
      <c r="M83" s="56"/>
      <c r="N83" s="534"/>
      <c r="O83" s="56"/>
      <c r="P83" s="56"/>
      <c r="Q83" s="328"/>
      <c r="S83" s="101"/>
      <c r="Y83" s="219"/>
      <c r="Z83" s="68"/>
      <c r="AA83" s="68"/>
      <c r="AB83" s="68"/>
      <c r="AC83" s="68"/>
      <c r="AD83" s="68"/>
      <c r="AE83" s="68"/>
      <c r="AF83" s="220"/>
      <c r="AH83" s="219"/>
      <c r="AI83" s="68"/>
      <c r="AJ83" s="68"/>
      <c r="AK83" s="68"/>
      <c r="AL83" s="68"/>
      <c r="AM83" s="220"/>
    </row>
    <row r="84" spans="2:39" ht="15.65" customHeight="1" x14ac:dyDescent="0.25">
      <c r="B84" s="121"/>
      <c r="C84" s="122"/>
      <c r="D84" s="122"/>
      <c r="E84" s="122"/>
      <c r="F84" s="122"/>
      <c r="G84" s="122"/>
      <c r="H84" s="169" t="s">
        <v>507</v>
      </c>
      <c r="I84" s="122"/>
      <c r="J84" s="122"/>
      <c r="K84" s="122"/>
      <c r="L84" s="122"/>
      <c r="M84" s="122"/>
      <c r="N84" s="122"/>
      <c r="O84" s="122"/>
      <c r="P84" s="122"/>
      <c r="Q84" s="123"/>
      <c r="Y84" s="217"/>
      <c r="Z84" s="91"/>
      <c r="AA84" s="91"/>
      <c r="AB84" s="91"/>
      <c r="AC84" s="91"/>
      <c r="AD84" s="91"/>
      <c r="AE84" s="91"/>
      <c r="AF84" s="218"/>
      <c r="AG84" s="91"/>
      <c r="AH84" s="217"/>
      <c r="AI84" s="91"/>
      <c r="AJ84" s="91"/>
      <c r="AK84" s="91"/>
      <c r="AL84" s="91"/>
      <c r="AM84" s="218"/>
    </row>
    <row r="85" spans="2:39" ht="15.65" customHeight="1" x14ac:dyDescent="0.25">
      <c r="B85" s="124"/>
      <c r="C85" s="125" t="s">
        <v>581</v>
      </c>
      <c r="D85" s="126"/>
      <c r="E85" s="126"/>
      <c r="F85" s="126"/>
      <c r="G85" s="126"/>
      <c r="H85" s="1881" t="s">
        <v>290</v>
      </c>
      <c r="I85" s="126"/>
      <c r="J85" s="126"/>
      <c r="K85" s="126"/>
      <c r="L85" s="126"/>
      <c r="M85" s="126"/>
      <c r="N85" s="126"/>
      <c r="O85" s="126"/>
      <c r="P85" s="126"/>
      <c r="Q85" s="127"/>
      <c r="Y85" s="217"/>
      <c r="Z85" s="91"/>
      <c r="AA85" s="91"/>
      <c r="AB85" s="91"/>
      <c r="AC85" s="91"/>
      <c r="AD85" s="91"/>
      <c r="AE85" s="91"/>
      <c r="AF85" s="218"/>
      <c r="AG85" s="91"/>
      <c r="AH85" s="217"/>
      <c r="AI85" s="91"/>
      <c r="AJ85" s="91"/>
      <c r="AK85" s="91"/>
      <c r="AL85" s="91"/>
      <c r="AM85" s="218"/>
    </row>
    <row r="86" spans="2:39" ht="15.65" customHeight="1" x14ac:dyDescent="0.25">
      <c r="B86" s="171"/>
      <c r="C86" s="153"/>
      <c r="D86" s="153"/>
      <c r="E86" s="130" t="s">
        <v>860</v>
      </c>
      <c r="F86" s="130" t="s">
        <v>508</v>
      </c>
      <c r="G86" s="130" t="s">
        <v>184</v>
      </c>
      <c r="H86" s="1882"/>
      <c r="I86" s="172"/>
      <c r="J86" s="172"/>
      <c r="K86" s="172"/>
      <c r="L86" s="172"/>
      <c r="M86" s="172"/>
      <c r="N86" s="172"/>
      <c r="O86" s="130" t="s">
        <v>82</v>
      </c>
      <c r="P86" s="172"/>
      <c r="Q86" s="173"/>
      <c r="Y86" s="285" t="s">
        <v>108</v>
      </c>
      <c r="Z86" s="283" t="s">
        <v>582</v>
      </c>
      <c r="AA86"/>
      <c r="AB86" s="91"/>
      <c r="AC86" s="91"/>
      <c r="AD86" s="91"/>
      <c r="AE86" s="91"/>
      <c r="AF86" s="218"/>
      <c r="AG86" s="91"/>
      <c r="AH86" s="217"/>
      <c r="AI86" s="91"/>
      <c r="AJ86" s="91"/>
      <c r="AK86" s="91"/>
      <c r="AL86" s="91"/>
      <c r="AM86" s="218"/>
    </row>
    <row r="87" spans="2:39" ht="15.65" customHeight="1" x14ac:dyDescent="0.25">
      <c r="B87" s="46"/>
      <c r="C87" s="47"/>
      <c r="D87" s="47"/>
      <c r="E87" s="47"/>
      <c r="F87" s="47"/>
      <c r="G87" s="47"/>
      <c r="H87" s="63"/>
      <c r="I87" s="47"/>
      <c r="J87" s="47"/>
      <c r="K87" s="47"/>
      <c r="L87" s="47"/>
      <c r="M87" s="47"/>
      <c r="N87" s="47"/>
      <c r="O87" s="47"/>
      <c r="P87" s="47"/>
      <c r="Q87" s="49"/>
      <c r="Y87" s="519" t="s">
        <v>861</v>
      </c>
      <c r="Z87" s="290" t="s">
        <v>128</v>
      </c>
      <c r="AA87"/>
      <c r="AB87" s="91"/>
      <c r="AC87" s="91"/>
      <c r="AD87" s="91"/>
      <c r="AE87" s="91"/>
      <c r="AF87" s="218"/>
      <c r="AG87" s="91"/>
      <c r="AH87" s="217"/>
      <c r="AI87" s="91"/>
      <c r="AJ87" s="91"/>
      <c r="AK87" s="91"/>
      <c r="AL87" s="91"/>
      <c r="AM87" s="218"/>
    </row>
    <row r="88" spans="2:39" ht="15.65" customHeight="1" x14ac:dyDescent="0.25">
      <c r="B88" s="46"/>
      <c r="C88" s="47" t="s">
        <v>862</v>
      </c>
      <c r="D88" s="47"/>
      <c r="E88" s="911" t="str">
        <f>IF(E13='Hidden Lists and Summaries'!$B$56,'Key Values'!$B$280,'Key Values'!$B$281)</f>
        <v>DBT</v>
      </c>
      <c r="F88" s="363"/>
      <c r="G88" s="462"/>
      <c r="H88" s="60"/>
      <c r="I88" s="47"/>
      <c r="J88" s="47"/>
      <c r="K88" s="47"/>
      <c r="L88" s="47"/>
      <c r="M88" s="47"/>
      <c r="N88" s="896"/>
      <c r="O88" s="895" t="s">
        <v>257</v>
      </c>
      <c r="P88" s="898"/>
      <c r="Q88" s="49"/>
      <c r="Y88" s="316">
        <v>0</v>
      </c>
      <c r="Z88" s="820" t="e">
        <f>F88*VLOOKUP(G88,massConv[#All],2,FALSE)</f>
        <v>#N/A</v>
      </c>
      <c r="AA88"/>
      <c r="AB88" s="91"/>
      <c r="AC88" s="91"/>
      <c r="AD88" s="91"/>
      <c r="AE88" s="91"/>
      <c r="AF88" s="218"/>
      <c r="AG88" s="91"/>
      <c r="AH88" s="217"/>
      <c r="AI88" s="91"/>
      <c r="AJ88" s="91"/>
      <c r="AK88" s="91"/>
      <c r="AL88" s="91"/>
      <c r="AM88" s="218"/>
    </row>
    <row r="89" spans="2:39" ht="15.65" customHeight="1" x14ac:dyDescent="0.25">
      <c r="B89" s="46"/>
      <c r="C89" s="58" t="s">
        <v>836</v>
      </c>
      <c r="D89" s="47"/>
      <c r="E89" s="912" t="str">
        <f>IF(E13='Hidden Lists and Summaries'!$B$56,'Key Values'!$B$280,'Key Values'!$B$281)</f>
        <v>DBT</v>
      </c>
      <c r="F89" s="561"/>
      <c r="G89" s="560"/>
      <c r="H89" s="1025"/>
      <c r="I89" s="52"/>
      <c r="J89" s="52"/>
      <c r="K89" s="47"/>
      <c r="L89" s="47"/>
      <c r="M89" s="47"/>
      <c r="N89" s="231"/>
      <c r="O89" s="339">
        <f>IF(F89="",0,IFERROR(Y89*Z89,'Hidden Lists and Summaries'!$C$158))</f>
        <v>0</v>
      </c>
      <c r="P89" s="535" t="s">
        <v>90</v>
      </c>
      <c r="Q89" s="49"/>
      <c r="Y89" s="221">
        <f>IF(H89&lt;&gt;"",H89,VLOOKUP(E89,Table42[],2,FALSE))</f>
        <v>3.7961</v>
      </c>
      <c r="Z89" s="225" t="e">
        <f>F89*VLOOKUP(G89,massConv[#All],3,FALSE)</f>
        <v>#N/A</v>
      </c>
      <c r="AA89"/>
      <c r="AB89" s="91"/>
      <c r="AC89" s="91"/>
      <c r="AD89" s="91"/>
      <c r="AE89" s="91"/>
      <c r="AF89" s="218"/>
      <c r="AG89" s="91"/>
      <c r="AH89" s="217"/>
      <c r="AI89" s="91"/>
      <c r="AJ89" s="91"/>
      <c r="AK89" s="91"/>
      <c r="AL89" s="91"/>
      <c r="AM89" s="218"/>
    </row>
    <row r="90" spans="2:39" ht="15.65" customHeight="1" x14ac:dyDescent="0.25">
      <c r="B90" s="53"/>
      <c r="C90" s="54"/>
      <c r="D90" s="54"/>
      <c r="E90" s="54"/>
      <c r="F90" s="54"/>
      <c r="G90" s="54"/>
      <c r="H90" s="61"/>
      <c r="I90" s="65"/>
      <c r="J90" s="54"/>
      <c r="K90" s="54"/>
      <c r="L90" s="54"/>
      <c r="M90" s="54"/>
      <c r="N90" s="109" t="s">
        <v>120</v>
      </c>
      <c r="O90" s="72">
        <f>SUM(O89:O89)</f>
        <v>0</v>
      </c>
      <c r="P90" s="110" t="s">
        <v>90</v>
      </c>
      <c r="Q90" s="55"/>
      <c r="Y90" s="217"/>
      <c r="Z90" s="91"/>
      <c r="AA90" s="91"/>
      <c r="AB90" s="91"/>
      <c r="AC90" s="91"/>
      <c r="AD90" s="91"/>
      <c r="AE90" s="91"/>
      <c r="AF90" s="218"/>
      <c r="AG90" s="91"/>
      <c r="AH90" s="217"/>
      <c r="AI90" s="91">
        <f>O90</f>
        <v>0</v>
      </c>
      <c r="AJ90" s="91"/>
      <c r="AK90" s="91" t="str">
        <f>'Hidden Lists and Summaries'!B5</f>
        <v>Embodied (Upstream)</v>
      </c>
      <c r="AL90" s="91"/>
      <c r="AM90" s="218" t="s">
        <v>863</v>
      </c>
    </row>
    <row r="91" spans="2:39" ht="15.65" customHeight="1" x14ac:dyDescent="0.25">
      <c r="B91" s="71"/>
      <c r="C91" s="71"/>
      <c r="D91" s="71"/>
      <c r="E91" s="71"/>
      <c r="F91" s="71"/>
      <c r="G91" s="71"/>
      <c r="H91" s="71"/>
      <c r="I91" s="71"/>
      <c r="J91" s="71"/>
      <c r="K91" s="71"/>
      <c r="L91" s="71"/>
      <c r="M91" s="71"/>
      <c r="N91" s="71"/>
      <c r="O91" s="71"/>
      <c r="P91" s="71"/>
      <c r="Q91" s="71"/>
      <c r="S91" s="101"/>
      <c r="Y91" s="217"/>
      <c r="Z91" s="91"/>
      <c r="AA91" s="91"/>
      <c r="AB91" s="91"/>
      <c r="AC91" s="91"/>
      <c r="AD91" s="91"/>
      <c r="AE91" s="91"/>
      <c r="AF91" s="218"/>
      <c r="AH91" s="217"/>
      <c r="AI91" s="91"/>
      <c r="AJ91" s="91"/>
      <c r="AK91" s="91"/>
      <c r="AL91" s="91"/>
      <c r="AM91" s="218"/>
    </row>
    <row r="92" spans="2:39" ht="15.65" customHeight="1" x14ac:dyDescent="0.25">
      <c r="B92" s="121"/>
      <c r="C92" s="122"/>
      <c r="D92" s="122"/>
      <c r="E92" s="122"/>
      <c r="F92" s="122"/>
      <c r="G92" s="122"/>
      <c r="H92" s="1878" t="s">
        <v>287</v>
      </c>
      <c r="I92" s="1878"/>
      <c r="J92" s="1878"/>
      <c r="K92" s="122"/>
      <c r="L92" s="122"/>
      <c r="M92" s="122"/>
      <c r="N92" s="122"/>
      <c r="O92" s="122"/>
      <c r="P92" s="122"/>
      <c r="Q92" s="123"/>
      <c r="Y92" s="217"/>
      <c r="Z92" s="91"/>
      <c r="AA92" s="91"/>
      <c r="AB92" s="91"/>
      <c r="AC92" s="68"/>
      <c r="AD92" s="91"/>
      <c r="AE92" s="91"/>
      <c r="AF92" s="218"/>
      <c r="AH92" s="217"/>
      <c r="AI92" s="91"/>
      <c r="AJ92" s="91"/>
      <c r="AK92" s="91"/>
      <c r="AL92" s="91"/>
      <c r="AM92" s="218"/>
    </row>
    <row r="93" spans="2:39" ht="15.65" customHeight="1" x14ac:dyDescent="0.25">
      <c r="B93" s="124"/>
      <c r="C93" s="145" t="s">
        <v>288</v>
      </c>
      <c r="D93" s="144"/>
      <c r="E93" s="144"/>
      <c r="F93" s="144"/>
      <c r="G93" s="144"/>
      <c r="H93" s="144"/>
      <c r="I93" s="1879" t="s">
        <v>797</v>
      </c>
      <c r="J93" s="1881" t="s">
        <v>289</v>
      </c>
      <c r="K93" s="1881" t="s">
        <v>515</v>
      </c>
      <c r="L93" s="144"/>
      <c r="M93" s="144"/>
      <c r="N93" s="144"/>
      <c r="O93" s="144"/>
      <c r="P93" s="144"/>
      <c r="Q93" s="127"/>
      <c r="Y93" s="217"/>
      <c r="Z93" s="91"/>
      <c r="AA93" s="91"/>
      <c r="AB93" s="91"/>
      <c r="AC93" s="68"/>
      <c r="AD93" s="91"/>
      <c r="AE93" s="91"/>
      <c r="AF93" s="218"/>
      <c r="AH93" s="217"/>
      <c r="AI93" s="91"/>
      <c r="AJ93" s="91"/>
      <c r="AK93" s="91"/>
      <c r="AL93" s="91"/>
      <c r="AM93" s="218"/>
    </row>
    <row r="94" spans="2:39" ht="15.65" customHeight="1" x14ac:dyDescent="0.25">
      <c r="B94" s="171"/>
      <c r="C94" s="153"/>
      <c r="D94" s="153"/>
      <c r="E94" s="130" t="s">
        <v>112</v>
      </c>
      <c r="F94" s="130" t="s">
        <v>117</v>
      </c>
      <c r="G94" s="130" t="s">
        <v>119</v>
      </c>
      <c r="H94" s="131" t="s">
        <v>184</v>
      </c>
      <c r="I94" s="1880"/>
      <c r="J94" s="1882"/>
      <c r="K94" s="1882"/>
      <c r="L94" s="172"/>
      <c r="M94" s="172"/>
      <c r="N94" s="172"/>
      <c r="O94" s="130" t="s">
        <v>82</v>
      </c>
      <c r="P94" s="172"/>
      <c r="Q94" s="173"/>
      <c r="Y94" s="288" t="s">
        <v>106</v>
      </c>
      <c r="Z94" s="289" t="s">
        <v>107</v>
      </c>
      <c r="AA94" s="290" t="s">
        <v>108</v>
      </c>
      <c r="AB94" s="283" t="s">
        <v>109</v>
      </c>
      <c r="AC94" s="95"/>
      <c r="AD94" s="91"/>
      <c r="AE94" s="91"/>
      <c r="AF94" s="218"/>
      <c r="AH94" s="217"/>
      <c r="AI94" s="91"/>
      <c r="AJ94" s="91"/>
      <c r="AK94" s="91"/>
      <c r="AL94" s="91"/>
      <c r="AM94" s="218"/>
    </row>
    <row r="95" spans="2:39" ht="15.65" customHeight="1" x14ac:dyDescent="0.25">
      <c r="B95" s="46"/>
      <c r="C95" s="47"/>
      <c r="D95" s="47"/>
      <c r="E95" s="47"/>
      <c r="F95" s="47"/>
      <c r="G95" s="47"/>
      <c r="H95" s="48"/>
      <c r="I95" s="100"/>
      <c r="J95" s="166"/>
      <c r="K95" s="47"/>
      <c r="L95" s="49"/>
      <c r="M95" s="896"/>
      <c r="N95" s="900" t="s">
        <v>257</v>
      </c>
      <c r="O95" s="900" t="s">
        <v>259</v>
      </c>
      <c r="P95" s="149"/>
      <c r="Q95" s="49"/>
      <c r="Y95" s="286" t="s">
        <v>113</v>
      </c>
      <c r="Z95" s="290" t="s">
        <v>114</v>
      </c>
      <c r="AA95" s="286" t="s">
        <v>113</v>
      </c>
      <c r="AB95" s="283" t="s">
        <v>115</v>
      </c>
      <c r="AC95" s="68"/>
      <c r="AD95" s="91"/>
      <c r="AE95" s="91"/>
      <c r="AF95" s="218"/>
      <c r="AH95" s="217"/>
      <c r="AI95" s="91"/>
      <c r="AJ95" s="91"/>
      <c r="AK95" s="91"/>
      <c r="AL95" s="91"/>
      <c r="AM95" s="218"/>
    </row>
    <row r="96" spans="2:39" ht="15.65" customHeight="1" x14ac:dyDescent="0.25">
      <c r="B96" s="46"/>
      <c r="C96" s="63" t="s">
        <v>291</v>
      </c>
      <c r="D96" s="47"/>
      <c r="E96" s="967"/>
      <c r="F96" s="968"/>
      <c r="G96" s="374"/>
      <c r="H96" s="427"/>
      <c r="I96" s="975"/>
      <c r="J96" s="976"/>
      <c r="K96" s="977"/>
      <c r="L96" s="49"/>
      <c r="M96" s="107"/>
      <c r="N96" s="107">
        <f>IF(AND(E96="",F96="",G96="",H96="",I96="",J96="",K96=""),0,IFERROR(Z96*AA96*AB96,'Hidden Lists and Summaries'!$C$158))</f>
        <v>0</v>
      </c>
      <c r="O96" s="107">
        <f>IF(AND(E96="",F96="",G96="",H96="",I96="",J96="",K96=""),0,IFERROR(Y96*Z96*AB96,'Hidden Lists and Summaries'!$C$158))</f>
        <v>0</v>
      </c>
      <c r="P96" s="108" t="s">
        <v>90</v>
      </c>
      <c r="Q96" s="49"/>
      <c r="Y96" s="302" t="str">
        <f>IF(I96&lt;&gt;"",I96,
IF(E96="Solid Fuel",VLOOKUP(F96,'Key Values'!$B$40:$G$58,6,FALSE),
IF(E96="Gaseous Fuel", VLOOKUP(F96,'Key Values'!$B$71:$G$88,6,FALSE),
IF(E96="Liquid Fuel", VLOOKUP(F96,'Key Values'!$B$100:$H$120,7,FALSE),
'Hidden Lists and Summaries'!$C$157))))</f>
        <v>No default, please enter a bespoke value</v>
      </c>
      <c r="Z96" s="104" t="e">
        <f>IF(J96&lt;&gt;"",J96,IF(E96="Solid Fuel",VLOOKUP(F96,'Key Values'!$B$40:$G$58,2,FALSE),
IF(E96="Gaseous Fuel",VLOOKUP(F96,'Key Values'!$B$71:$G$88,2,FALSE),
VLOOKUP(F96,'Key Values'!$B$100:$H$120,2,FALSE))))</f>
        <v>#N/A</v>
      </c>
      <c r="AA96" s="303" t="e" cm="1">
        <f t="array" ref="AA96">_xlfn.IFS(K96&lt;&gt;"",K96,E96="Solid Fuel", VLOOKUP(F96,'Key Values'!$B$61:$C$68,2,FALSE),
E96="Liquid fuel",VLOOKUP(F96,'Key Values'!$B$123:$C$143,2,FALSE),
E96="Gaseous Fuel", IF(VLOOKUP(F96,GasFuel[#All],7,FALSE)=TRUE,IF(F96='Key Values'!$B$77,'Hidden Lists and Summaries'!$C$157,VLOOKUP(iq_location,GaseousFuelEmbodiedEmissions[#All],IF(iq_metro="Yes",2,3),FALSE)),'Hidden Lists and Summaries'!$C$157))</f>
        <v>#N/A</v>
      </c>
      <c r="AB96" s="304" t="e" cm="1">
        <f t="array" ref="AB96">_xlfn.IFS('Key Values'!$B$35=E96, VLOOKUP(H96,massConv[#All], 2, FALSE),
'Key Values'!$B$36=E96, IF(VLOOKUP(F96,'Key Values'!$B$101:$H$121,3,FALSE)="GJ/t", VLOOKUP(H96,massConv[#All], 2, FALSE), VLOOKUP(H96,volConv[#All], 2, FALSE)),
'Key Values'!$B$37=E96, VLOOKUP(H96,volConv[#All], 2, FALSE)) * G96</f>
        <v>#N/A</v>
      </c>
      <c r="AC96" s="101"/>
      <c r="AD96" s="91"/>
      <c r="AE96" s="91"/>
      <c r="AF96" s="218"/>
      <c r="AH96" s="217"/>
      <c r="AI96" s="91"/>
      <c r="AJ96" s="91"/>
      <c r="AK96" s="91"/>
      <c r="AL96" s="91"/>
      <c r="AM96" s="218"/>
    </row>
    <row r="97" spans="2:39" ht="15.65" customHeight="1" x14ac:dyDescent="0.25">
      <c r="B97" s="46"/>
      <c r="C97" s="63" t="s">
        <v>292</v>
      </c>
      <c r="D97" s="47"/>
      <c r="E97" s="969"/>
      <c r="F97" s="970"/>
      <c r="G97" s="379"/>
      <c r="H97" s="380"/>
      <c r="I97" s="978"/>
      <c r="J97" s="979"/>
      <c r="K97" s="980"/>
      <c r="L97" s="49"/>
      <c r="M97" s="107"/>
      <c r="N97" s="107">
        <f>IF(AND(E97="",F97="",G97="",H97="",I97="",J97="",K97=""),0,IFERROR(Z97*AA97*AB97,'Hidden Lists and Summaries'!$C$158))</f>
        <v>0</v>
      </c>
      <c r="O97" s="107">
        <f>IF(AND(E97="",F97="",G97="",H97="",I97="",J97="",K97=""),0,IFERROR(Y97*Z97*AB97,'Hidden Lists and Summaries'!$C$158))</f>
        <v>0</v>
      </c>
      <c r="P97" s="108" t="s">
        <v>90</v>
      </c>
      <c r="Q97" s="49"/>
      <c r="Y97" s="293" t="str">
        <f>IF(I97&lt;&gt;"",I97,
IF(E97="Solid Fuel",VLOOKUP(F97,'Key Values'!$B$40:$G$58,6,FALSE),
IF(E97="Gaseous Fuel", VLOOKUP(F97,'Key Values'!$B$71:$G$88,6,FALSE),
IF(E97="Liquid Fuel", VLOOKUP(F97,'Key Values'!$B$100:$H$120,7,FALSE),
'Hidden Lists and Summaries'!$C$157))))</f>
        <v>No default, please enter a bespoke value</v>
      </c>
      <c r="Z97" s="91" t="e">
        <f>IF(J97&lt;&gt;"",J97,IF(E97="Solid Fuel",VLOOKUP(F97,'Key Values'!$B$40:$G$58,2,FALSE),
IF(E97="Gaseous Fuel",VLOOKUP(F97,'Key Values'!$B$71:$G$88,2,FALSE),
VLOOKUP(F97,'Key Values'!$B$100:$H$120,2,FALSE))))</f>
        <v>#N/A</v>
      </c>
      <c r="AA97" s="94" t="e" cm="1">
        <f t="array" ref="AA97">_xlfn.IFS(K97&lt;&gt;"",K97,E97="Solid Fuel", VLOOKUP(F97,'Key Values'!$B$61:$C$68,2,FALSE),
E97="Liquid fuel",VLOOKUP(F97,'Key Values'!$B$123:$C$143,2,FALSE),
E97="Gaseous Fuel", IF(VLOOKUP(F97,GasFuel[#All],7,FALSE)=TRUE,IF(F97='Key Values'!$B$77,'Hidden Lists and Summaries'!$C$157,VLOOKUP(iq_location,GaseousFuelEmbodiedEmissions[#All],IF(iq_metro="Yes",2,3),FALSE)),'Hidden Lists and Summaries'!$C$157))</f>
        <v>#N/A</v>
      </c>
      <c r="AB97" s="305" t="e" cm="1">
        <f t="array" ref="AB97">_xlfn.IFS('Key Values'!$B$35=E97, VLOOKUP(H97,massConv[#All], 2, FALSE),
'Key Values'!$B$36=E97, IF(VLOOKUP(F97,'Key Values'!$B$101:$H$121,3,FALSE)="GJ/t", VLOOKUP(H97,massConv[#All], 2, FALSE), VLOOKUP(H97,volConv[#All], 2, FALSE)),
'Key Values'!$B$37=E97, VLOOKUP(H97,volConv[#All], 2, FALSE)) * G97</f>
        <v>#N/A</v>
      </c>
      <c r="AC97" s="91"/>
      <c r="AD97" s="91"/>
      <c r="AE97" s="91"/>
      <c r="AF97" s="218"/>
      <c r="AH97" s="217"/>
      <c r="AI97" s="91"/>
      <c r="AJ97" s="91"/>
      <c r="AK97" s="91"/>
      <c r="AL97" s="91"/>
      <c r="AM97" s="218"/>
    </row>
    <row r="98" spans="2:39" ht="15.65" customHeight="1" x14ac:dyDescent="0.25">
      <c r="B98" s="46"/>
      <c r="C98" s="63" t="s">
        <v>293</v>
      </c>
      <c r="D98" s="47"/>
      <c r="E98" s="971"/>
      <c r="F98" s="972"/>
      <c r="G98" s="386"/>
      <c r="H98" s="380"/>
      <c r="I98" s="978"/>
      <c r="J98" s="979"/>
      <c r="K98" s="981"/>
      <c r="L98" s="49"/>
      <c r="M98" s="107"/>
      <c r="N98" s="107">
        <f>IF(AND(E98="",F98="",G98="",H98="",I98="",J98="",K98=""),0,IFERROR(Z98*AA98*AB98,'Hidden Lists and Summaries'!$C$158))</f>
        <v>0</v>
      </c>
      <c r="O98" s="107">
        <f>IF(AND(E98="",F98="",G98="",H98="",I98="",J98="",K98=""),0,IFERROR(Y98*Z98*AB98,'Hidden Lists and Summaries'!$C$158))</f>
        <v>0</v>
      </c>
      <c r="P98" s="108" t="s">
        <v>90</v>
      </c>
      <c r="Q98" s="49"/>
      <c r="Y98" s="293" t="str">
        <f>IF(I98&lt;&gt;"",I98,
IF(E98="Solid Fuel",VLOOKUP(F98,'Key Values'!$B$40:$G$58,6,FALSE),
IF(E98="Gaseous Fuel", VLOOKUP(F98,'Key Values'!$B$71:$G$88,6,FALSE),
IF(E98="Liquid Fuel", VLOOKUP(F98,'Key Values'!$B$100:$H$120,7,FALSE),
'Hidden Lists and Summaries'!$C$157))))</f>
        <v>No default, please enter a bespoke value</v>
      </c>
      <c r="Z98" s="91" t="e">
        <f>IF(J98&lt;&gt;"",J98,IF(E98="Solid Fuel",VLOOKUP(F98,'Key Values'!$B$40:$G$58,2,FALSE),
IF(E98="Gaseous Fuel",VLOOKUP(F98,'Key Values'!$B$71:$G$88,2,FALSE),
VLOOKUP(F98,'Key Values'!$B$100:$H$120,2,FALSE))))</f>
        <v>#N/A</v>
      </c>
      <c r="AA98" s="94" t="e" cm="1">
        <f t="array" ref="AA98">_xlfn.IFS(K98&lt;&gt;"",K98,E98="Solid Fuel", VLOOKUP(F98,'Key Values'!$B$61:$C$68,2,FALSE),
E98="Liquid fuel",VLOOKUP(F98,'Key Values'!$B$123:$C$143,2,FALSE),
E98="Gaseous Fuel", IF(VLOOKUP(F98,GasFuel[#All],7,FALSE)=TRUE,IF(F98='Key Values'!$B$77,'Hidden Lists and Summaries'!$C$157,VLOOKUP(iq_location,GaseousFuelEmbodiedEmissions[#All],IF(iq_metro="Yes",2,3),FALSE)),'Hidden Lists and Summaries'!$C$157))</f>
        <v>#N/A</v>
      </c>
      <c r="AB98" s="305" t="e" cm="1">
        <f t="array" ref="AB98">_xlfn.IFS('Key Values'!$B$35=E98, VLOOKUP(H98,massConv[#All], 2, FALSE),
'Key Values'!$B$36=E98, IF(VLOOKUP(F98,'Key Values'!$B$101:$H$121,3,FALSE)="GJ/t", VLOOKUP(H98,massConv[#All], 2, FALSE), VLOOKUP(H98,volConv[#All], 2, FALSE)),
'Key Values'!$B$37=E98, VLOOKUP(H98,volConv[#All], 2, FALSE)) * G98</f>
        <v>#N/A</v>
      </c>
      <c r="AC98" s="91"/>
      <c r="AD98" s="91"/>
      <c r="AE98" s="91"/>
      <c r="AF98" s="218"/>
      <c r="AH98" s="217"/>
      <c r="AI98" s="91"/>
      <c r="AJ98" s="91"/>
      <c r="AK98" s="91"/>
      <c r="AL98" s="91"/>
      <c r="AM98" s="218"/>
    </row>
    <row r="99" spans="2:39" ht="15.65" customHeight="1" x14ac:dyDescent="0.25">
      <c r="B99" s="46"/>
      <c r="C99" s="63" t="s">
        <v>294</v>
      </c>
      <c r="D99" s="47"/>
      <c r="E99" s="971"/>
      <c r="F99" s="972"/>
      <c r="G99" s="387"/>
      <c r="H99" s="380"/>
      <c r="I99" s="982"/>
      <c r="J99" s="983"/>
      <c r="K99" s="981"/>
      <c r="L99" s="49"/>
      <c r="M99" s="107"/>
      <c r="N99" s="107">
        <f>IF(AND(E99="",F99="",G99="",H99="",I99="",J99="",K99=""),0,IFERROR(Z99*AA99*AB99,'Hidden Lists and Summaries'!$C$158))</f>
        <v>0</v>
      </c>
      <c r="O99" s="107">
        <f>IF(AND(E99="",F99="",G99="",H99="",I99="",J99="",K99=""),0,IFERROR(Y99*Z99*AB99,'Hidden Lists and Summaries'!$C$158))</f>
        <v>0</v>
      </c>
      <c r="P99" s="108" t="s">
        <v>90</v>
      </c>
      <c r="Q99" s="49"/>
      <c r="Y99" s="293" t="str">
        <f>IF(I99&lt;&gt;"",I99,
IF(E99="Solid Fuel",VLOOKUP(F99,'Key Values'!$B$40:$G$58,6,FALSE),
IF(E99="Gaseous Fuel", VLOOKUP(F99,'Key Values'!$B$71:$G$88,6,FALSE),
IF(E99="Liquid Fuel", VLOOKUP(F99,'Key Values'!$B$100:$H$120,7,FALSE),
'Hidden Lists and Summaries'!$C$157))))</f>
        <v>No default, please enter a bespoke value</v>
      </c>
      <c r="Z99" s="91" t="e">
        <f>IF(J99&lt;&gt;"",J99,IF(E99="Solid Fuel",VLOOKUP(F99,'Key Values'!$B$40:$G$58,2,FALSE),
IF(E99="Gaseous Fuel",VLOOKUP(F99,'Key Values'!$B$71:$G$88,2,FALSE),
VLOOKUP(F99,'Key Values'!$B$100:$H$120,2,FALSE))))</f>
        <v>#N/A</v>
      </c>
      <c r="AA99" s="94" t="e" cm="1">
        <f t="array" ref="AA99">_xlfn.IFS(K99&lt;&gt;"",K99,E99="Solid Fuel", VLOOKUP(F99,'Key Values'!$B$61:$C$68,2,FALSE),
E99="Liquid fuel",VLOOKUP(F99,'Key Values'!$B$123:$C$143,2,FALSE),
E99="Gaseous Fuel", IF(VLOOKUP(F99,GasFuel[#All],7,FALSE)=TRUE,IF(F99='Key Values'!$B$77,'Hidden Lists and Summaries'!$C$157,VLOOKUP(iq_location,GaseousFuelEmbodiedEmissions[#All],IF(iq_metro="Yes",2,3),FALSE)),'Hidden Lists and Summaries'!$C$157))</f>
        <v>#N/A</v>
      </c>
      <c r="AB99" s="305" t="e" cm="1">
        <f t="array" ref="AB99">_xlfn.IFS('Key Values'!$B$35=E99, VLOOKUP(H99,massConv[#All], 2, FALSE),
'Key Values'!$B$36=E99, IF(VLOOKUP(F99,'Key Values'!$B$101:$H$121,3,FALSE)="GJ/t", VLOOKUP(H99,massConv[#All], 2, FALSE), VLOOKUP(H99,volConv[#All], 2, FALSE)),
'Key Values'!$B$37=E99, VLOOKUP(H99,volConv[#All], 2, FALSE)) * G99</f>
        <v>#N/A</v>
      </c>
      <c r="AC99" s="91"/>
      <c r="AD99" s="91"/>
      <c r="AE99" s="91"/>
      <c r="AF99" s="218"/>
      <c r="AH99" s="217"/>
      <c r="AI99" s="91"/>
      <c r="AJ99" s="91"/>
      <c r="AK99" s="91"/>
      <c r="AL99" s="91"/>
      <c r="AM99" s="218"/>
    </row>
    <row r="100" spans="2:39" x14ac:dyDescent="0.25">
      <c r="B100" s="46"/>
      <c r="C100" s="63" t="s">
        <v>295</v>
      </c>
      <c r="D100" s="47"/>
      <c r="E100" s="973"/>
      <c r="F100" s="974"/>
      <c r="G100" s="392"/>
      <c r="H100" s="396"/>
      <c r="I100" s="984"/>
      <c r="J100" s="985"/>
      <c r="K100" s="986"/>
      <c r="L100" s="49"/>
      <c r="M100" s="107"/>
      <c r="N100" s="107">
        <f>IF(AND(E100="",F100="",G100="",H100="",I100="",J100="",K100=""),0,IFERROR(Z100*AA100*AB100,'Hidden Lists and Summaries'!$C$158))</f>
        <v>0</v>
      </c>
      <c r="O100" s="107">
        <f>IF(AND(E100="",F100="",G100="",H100="",I100="",J100="",K100=""),0,IFERROR(Y100*Z100*AB100,'Hidden Lists and Summaries'!$C$158))</f>
        <v>0</v>
      </c>
      <c r="P100" s="108" t="s">
        <v>90</v>
      </c>
      <c r="Q100" s="49"/>
      <c r="Y100" s="306" t="str">
        <f>IF(I100&lt;&gt;"",I100,
IF(E100="Solid Fuel",VLOOKUP(F100,'Key Values'!$B$40:$G$58,6,FALSE),
IF(E100="Gaseous Fuel", VLOOKUP(F100,'Key Values'!$B$71:$G$88,6,FALSE),
IF(E100="Liquid Fuel", VLOOKUP(F100,'Key Values'!$B$100:$H$120,7,FALSE),
'Hidden Lists and Summaries'!$C$157))))</f>
        <v>No default, please enter a bespoke value</v>
      </c>
      <c r="Z100" s="185" t="e">
        <f>IF(J100&lt;&gt;"",J100,IF(E100="Solid Fuel",VLOOKUP(F100,'Key Values'!$B$40:$G$58,2,FALSE),
IF(E100="Gaseous Fuel",VLOOKUP(F100,'Key Values'!$B$71:$G$88,2,FALSE),
VLOOKUP(F100,'Key Values'!$B$100:$H$120,2,FALSE))))</f>
        <v>#N/A</v>
      </c>
      <c r="AA100" s="307" t="e" cm="1">
        <f t="array" ref="AA100">_xlfn.IFS(K100&lt;&gt;"",K100,E100="Solid Fuel", VLOOKUP(F100,'Key Values'!$B$61:$C$68,2,FALSE),
E100="Liquid fuel",VLOOKUP(F100,'Key Values'!$B$123:$C$143,2,FALSE),
E100="Gaseous Fuel", IF(VLOOKUP(F100,GasFuel[#All],7,FALSE)=TRUE,IF(F100='Key Values'!$B$77,'Hidden Lists and Summaries'!$C$157,VLOOKUP(iq_location,GaseousFuelEmbodiedEmissions[#All],IF(iq_metro="Yes",2,3),FALSE)),'Hidden Lists and Summaries'!$C$157))</f>
        <v>#N/A</v>
      </c>
      <c r="AB100" s="308" t="e" cm="1">
        <f t="array" ref="AB100">_xlfn.IFS('Key Values'!$B$35=E100, VLOOKUP(H100,massConv[#All], 2, FALSE),
'Key Values'!$B$36=E100, IF(VLOOKUP(F100,'Key Values'!$B$101:$H$121,3,FALSE)="GJ/t", VLOOKUP(H100,massConv[#All], 2, FALSE), VLOOKUP(H100,volConv[#All], 2, FALSE)),
'Key Values'!$B$37=E100, VLOOKUP(H100,volConv[#All], 2, FALSE)) * G100</f>
        <v>#N/A</v>
      </c>
      <c r="AC100" s="91"/>
      <c r="AD100" s="91"/>
      <c r="AE100" s="91"/>
      <c r="AF100" s="218"/>
      <c r="AH100" s="217"/>
      <c r="AI100" s="91"/>
      <c r="AJ100" s="91"/>
      <c r="AK100" s="91"/>
      <c r="AL100" s="91"/>
      <c r="AM100" s="218"/>
    </row>
    <row r="101" spans="2:39" ht="15.65" customHeight="1" x14ac:dyDescent="0.25">
      <c r="B101" s="53"/>
      <c r="C101" s="54"/>
      <c r="D101" s="54"/>
      <c r="E101" s="54"/>
      <c r="F101" s="98"/>
      <c r="G101" s="99"/>
      <c r="H101" s="65"/>
      <c r="I101" s="65"/>
      <c r="J101" s="54"/>
      <c r="K101" s="54"/>
      <c r="L101" s="55"/>
      <c r="M101" s="167" t="s">
        <v>120</v>
      </c>
      <c r="N101" s="168">
        <f>SUM(N96:N100)</f>
        <v>0</v>
      </c>
      <c r="O101" s="72">
        <f>SUM(O96:O100)</f>
        <v>0</v>
      </c>
      <c r="P101" s="110" t="s">
        <v>90</v>
      </c>
      <c r="Q101" s="55"/>
      <c r="Y101" s="217"/>
      <c r="Z101" s="91"/>
      <c r="AA101" s="91"/>
      <c r="AB101" s="284"/>
      <c r="AC101" s="91"/>
      <c r="AD101" s="91"/>
      <c r="AE101" s="91"/>
      <c r="AF101" s="218"/>
      <c r="AG101" s="91"/>
      <c r="AH101" s="217">
        <f>N101</f>
        <v>0</v>
      </c>
      <c r="AI101" s="91">
        <f>O101</f>
        <v>0</v>
      </c>
      <c r="AJ101" s="91" t="str">
        <f>'Hidden Lists and Summaries'!B5</f>
        <v>Embodied (Upstream)</v>
      </c>
      <c r="AK101" s="91" t="str">
        <f>'Hidden Lists and Summaries'!B8</f>
        <v>Fuel Combustion</v>
      </c>
      <c r="AL101" s="91" t="s">
        <v>243</v>
      </c>
      <c r="AM101" s="218"/>
    </row>
    <row r="102" spans="2:39" ht="15.65" customHeight="1" x14ac:dyDescent="0.25">
      <c r="B102" s="71"/>
      <c r="C102" s="71"/>
      <c r="D102" s="71"/>
      <c r="E102" s="71"/>
      <c r="F102" s="71"/>
      <c r="G102" s="71"/>
      <c r="H102" s="71"/>
      <c r="I102" s="71"/>
      <c r="J102" s="71"/>
      <c r="K102" s="71"/>
      <c r="L102" s="71"/>
      <c r="M102" s="71"/>
      <c r="N102" s="71"/>
      <c r="O102" s="71"/>
      <c r="P102" s="71"/>
      <c r="Q102" s="71"/>
      <c r="Y102" s="217"/>
      <c r="Z102" s="91"/>
      <c r="AA102" s="91"/>
      <c r="AB102" s="91"/>
      <c r="AC102" s="91"/>
      <c r="AD102" s="91"/>
      <c r="AE102" s="91"/>
      <c r="AF102" s="218"/>
      <c r="AG102" s="91"/>
      <c r="AH102" s="217"/>
      <c r="AI102" s="91"/>
      <c r="AJ102" s="91"/>
      <c r="AK102" s="91"/>
      <c r="AL102" s="91"/>
      <c r="AM102" s="218"/>
    </row>
    <row r="103" spans="2:39" ht="15.65" customHeight="1" x14ac:dyDescent="0.25">
      <c r="B103" s="121"/>
      <c r="C103" s="122"/>
      <c r="D103" s="122"/>
      <c r="E103" s="122"/>
      <c r="F103" s="122"/>
      <c r="G103" s="122"/>
      <c r="H103" s="122"/>
      <c r="I103" s="122"/>
      <c r="J103" s="122"/>
      <c r="K103" s="122"/>
      <c r="L103" s="122"/>
      <c r="M103" s="122"/>
      <c r="N103" s="122"/>
      <c r="O103" s="122"/>
      <c r="P103" s="122"/>
      <c r="Q103" s="123"/>
      <c r="Y103" s="217"/>
      <c r="Z103" s="91"/>
      <c r="AA103" s="91"/>
      <c r="AB103" s="91"/>
      <c r="AC103" s="91"/>
      <c r="AD103" s="91"/>
      <c r="AE103" s="91"/>
      <c r="AF103" s="218"/>
      <c r="AG103" s="91"/>
      <c r="AH103" s="217"/>
      <c r="AI103" s="91"/>
      <c r="AJ103" s="91"/>
      <c r="AK103" s="91"/>
      <c r="AL103" s="91"/>
      <c r="AM103" s="218"/>
    </row>
    <row r="104" spans="2:39" ht="15.65" customHeight="1" x14ac:dyDescent="0.25">
      <c r="B104" s="124"/>
      <c r="C104" s="145" t="s">
        <v>296</v>
      </c>
      <c r="D104" s="144"/>
      <c r="E104" s="144"/>
      <c r="F104" s="144"/>
      <c r="G104" s="144"/>
      <c r="H104" s="144"/>
      <c r="I104" s="144"/>
      <c r="J104" s="144"/>
      <c r="K104" s="144"/>
      <c r="L104" s="144"/>
      <c r="M104" s="144"/>
      <c r="N104" s="144"/>
      <c r="O104" s="144"/>
      <c r="P104" s="144"/>
      <c r="Q104" s="127"/>
      <c r="Y104" s="217"/>
      <c r="Z104" s="91"/>
      <c r="AA104" s="91"/>
      <c r="AB104" s="91"/>
      <c r="AC104" s="91"/>
      <c r="AD104" s="91"/>
      <c r="AE104" s="91"/>
      <c r="AF104" s="218"/>
      <c r="AG104" s="91"/>
      <c r="AH104" s="217"/>
      <c r="AI104" s="91"/>
      <c r="AJ104" s="91"/>
      <c r="AK104" s="91"/>
      <c r="AL104" s="91"/>
      <c r="AM104" s="218"/>
    </row>
    <row r="105" spans="2:39" ht="15.65" customHeight="1" x14ac:dyDescent="0.25">
      <c r="B105" s="171"/>
      <c r="C105" s="153"/>
      <c r="D105" s="153"/>
      <c r="E105" s="130" t="s">
        <v>297</v>
      </c>
      <c r="F105" s="130" t="s">
        <v>298</v>
      </c>
      <c r="G105" s="131" t="s">
        <v>299</v>
      </c>
      <c r="H105" s="131" t="s">
        <v>184</v>
      </c>
      <c r="I105" s="131"/>
      <c r="J105" s="172"/>
      <c r="K105" s="172"/>
      <c r="L105" s="172"/>
      <c r="M105" s="172"/>
      <c r="N105" s="172"/>
      <c r="O105" s="130" t="s">
        <v>82</v>
      </c>
      <c r="P105" s="172"/>
      <c r="Q105" s="173"/>
      <c r="Y105" s="285" t="s">
        <v>300</v>
      </c>
      <c r="Z105" s="73" t="s">
        <v>301</v>
      </c>
      <c r="AA105" s="73" t="s">
        <v>516</v>
      </c>
      <c r="AB105" s="283" t="s">
        <v>94</v>
      </c>
      <c r="AC105" s="283" t="s">
        <v>303</v>
      </c>
      <c r="AD105" s="91"/>
      <c r="AE105" s="91"/>
      <c r="AF105" s="218"/>
      <c r="AG105" s="91"/>
      <c r="AH105" s="217"/>
      <c r="AI105" s="91"/>
      <c r="AJ105" s="91"/>
      <c r="AK105" s="91"/>
      <c r="AL105" s="91"/>
      <c r="AM105" s="218"/>
    </row>
    <row r="106" spans="2:39" ht="15.65" customHeight="1" x14ac:dyDescent="0.25">
      <c r="B106" s="46"/>
      <c r="C106" s="47"/>
      <c r="D106" s="47"/>
      <c r="E106" s="47"/>
      <c r="F106" s="47"/>
      <c r="G106" s="47"/>
      <c r="H106" s="48"/>
      <c r="I106" s="48"/>
      <c r="J106" s="47"/>
      <c r="K106" s="47"/>
      <c r="L106" s="47"/>
      <c r="M106" s="47"/>
      <c r="N106" s="896"/>
      <c r="O106" s="895" t="s">
        <v>847</v>
      </c>
      <c r="P106" s="898"/>
      <c r="Q106" s="49"/>
      <c r="Y106" s="294"/>
      <c r="Z106" s="74" t="s">
        <v>116</v>
      </c>
      <c r="AA106" s="272"/>
      <c r="AB106" s="283" t="s">
        <v>128</v>
      </c>
      <c r="AC106" s="283"/>
      <c r="AD106" s="91"/>
      <c r="AE106" s="91"/>
      <c r="AF106" s="218"/>
      <c r="AG106" s="91"/>
      <c r="AH106" s="217"/>
      <c r="AI106" s="91"/>
      <c r="AJ106" s="91"/>
      <c r="AK106" s="91"/>
      <c r="AL106" s="91"/>
      <c r="AM106" s="218"/>
    </row>
    <row r="107" spans="2:39" ht="15.65" customHeight="1" x14ac:dyDescent="0.25">
      <c r="B107" s="46"/>
      <c r="C107" s="63" t="s">
        <v>305</v>
      </c>
      <c r="D107" s="47"/>
      <c r="E107" s="987"/>
      <c r="F107" s="988"/>
      <c r="G107" s="358"/>
      <c r="H107" s="397"/>
      <c r="I107" s="48"/>
      <c r="J107" s="47"/>
      <c r="K107" s="47"/>
      <c r="L107" s="47"/>
      <c r="M107" s="47"/>
      <c r="N107" s="106"/>
      <c r="O107" s="107">
        <f>IF(AND(E107="",F107="",G107="",H107=""),0,IFERROR(Z107*AC107,'Hidden Lists and Summaries'!$C$158))</f>
        <v>0</v>
      </c>
      <c r="P107" s="108" t="s">
        <v>90</v>
      </c>
      <c r="Q107" s="49"/>
      <c r="Y107" s="274" t="e">
        <f>VLOOKUP(F107,CO2Equivalence[],2,FALSE)</f>
        <v>#N/A</v>
      </c>
      <c r="Z107" s="104" t="e">
        <f>AB107*Y107</f>
        <v>#N/A</v>
      </c>
      <c r="AA107" s="509" t="e">
        <f>IF(F107='Key Values'!$B$221,VLOOKUP('LOHC - Hydrogenation'!E107,IndustrialProcessEmissions[],3,FALSE),VLOOKUP('LOHC - Hydrogenation'!E107,IndustrialProcessEmissions[],2,FALSE))</f>
        <v>#N/A</v>
      </c>
      <c r="AB107" s="310" t="e">
        <f>VLOOKUP(H107,massConv[#All], 3, FALSE)*G107</f>
        <v>#N/A</v>
      </c>
      <c r="AC107" s="299" t="e">
        <f t="shared" ref="AC107:AC113" si="2">AA107*iq_batchDurationYears</f>
        <v>#N/A</v>
      </c>
      <c r="AD107" s="91"/>
      <c r="AE107" s="91"/>
      <c r="AF107" s="218"/>
      <c r="AG107" s="91"/>
      <c r="AH107" s="217"/>
      <c r="AI107" s="91"/>
      <c r="AJ107" s="91"/>
      <c r="AK107" s="91"/>
      <c r="AL107" s="91"/>
      <c r="AM107" s="218"/>
    </row>
    <row r="108" spans="2:39" ht="15.65" customHeight="1" x14ac:dyDescent="0.25">
      <c r="B108" s="46"/>
      <c r="C108" s="63" t="s">
        <v>306</v>
      </c>
      <c r="D108" s="47"/>
      <c r="E108" s="989"/>
      <c r="F108" s="990"/>
      <c r="G108" s="398"/>
      <c r="H108" s="399"/>
      <c r="I108" s="48"/>
      <c r="J108" s="47"/>
      <c r="K108" s="47"/>
      <c r="L108" s="47"/>
      <c r="M108" s="47"/>
      <c r="N108" s="106"/>
      <c r="O108" s="107">
        <f>IF(AND(E108="",F108="",G108="",H108=""),0,IFERROR(Z108*AC108,'Hidden Lists and Summaries'!$C$158))</f>
        <v>0</v>
      </c>
      <c r="P108" s="108" t="s">
        <v>90</v>
      </c>
      <c r="Q108" s="49"/>
      <c r="Y108" s="217" t="e">
        <f>VLOOKUP(F108,CO2Equivalence[],2,FALSE)</f>
        <v>#N/A</v>
      </c>
      <c r="Z108" s="91" t="e">
        <f t="shared" ref="Z108:Z113" si="3">AB108*Y108</f>
        <v>#N/A</v>
      </c>
      <c r="AA108" s="510" t="e">
        <f>IF(F108='Key Values'!$B$221,VLOOKUP('LOHC - Hydrogenation'!E108,IndustrialProcessEmissions[],3,FALSE),VLOOKUP('LOHC - Hydrogenation'!E108,IndustrialProcessEmissions[],2,FALSE))</f>
        <v>#N/A</v>
      </c>
      <c r="AB108" s="284" t="e">
        <f>VLOOKUP(H108,massConv[#All], 3, FALSE)*G108</f>
        <v>#N/A</v>
      </c>
      <c r="AC108" s="300" t="e">
        <f t="shared" si="2"/>
        <v>#N/A</v>
      </c>
      <c r="AD108" s="91"/>
      <c r="AE108" s="91"/>
      <c r="AF108" s="218"/>
      <c r="AG108" s="91"/>
      <c r="AH108" s="217"/>
      <c r="AI108" s="91"/>
      <c r="AJ108" s="91"/>
      <c r="AK108" s="91"/>
      <c r="AL108" s="91"/>
      <c r="AM108" s="218"/>
    </row>
    <row r="109" spans="2:39" ht="15.65" customHeight="1" x14ac:dyDescent="0.25">
      <c r="B109" s="46"/>
      <c r="C109" s="63" t="s">
        <v>307</v>
      </c>
      <c r="D109" s="47"/>
      <c r="E109" s="989"/>
      <c r="F109" s="990"/>
      <c r="G109" s="398"/>
      <c r="H109" s="399"/>
      <c r="I109" s="48"/>
      <c r="J109" s="47"/>
      <c r="K109" s="47"/>
      <c r="L109" s="47"/>
      <c r="M109" s="47"/>
      <c r="N109" s="106"/>
      <c r="O109" s="107">
        <f>IF(AND(E109="",F109="",G109="",H109=""),0,IFERROR(Z109*AC109,'Hidden Lists and Summaries'!$C$158))</f>
        <v>0</v>
      </c>
      <c r="P109" s="108" t="s">
        <v>90</v>
      </c>
      <c r="Q109" s="49"/>
      <c r="Y109" s="217" t="e">
        <f>VLOOKUP(F109,CO2Equivalence[],2,FALSE)</f>
        <v>#N/A</v>
      </c>
      <c r="Z109" s="91" t="e">
        <f t="shared" si="3"/>
        <v>#N/A</v>
      </c>
      <c r="AA109" s="510" t="e">
        <f>IF(F109='Key Values'!$B$221,VLOOKUP('LOHC - Hydrogenation'!E109,IndustrialProcessEmissions[],3,FALSE),VLOOKUP('LOHC - Hydrogenation'!E109,IndustrialProcessEmissions[],2,FALSE))</f>
        <v>#N/A</v>
      </c>
      <c r="AB109" s="284" t="e">
        <f>VLOOKUP(H109,massConv[#All], 3, FALSE)*G109</f>
        <v>#N/A</v>
      </c>
      <c r="AC109" s="300" t="e">
        <f t="shared" si="2"/>
        <v>#N/A</v>
      </c>
      <c r="AD109" s="91"/>
      <c r="AE109" s="91"/>
      <c r="AF109" s="218"/>
      <c r="AG109" s="91"/>
      <c r="AH109" s="217"/>
      <c r="AI109" s="91"/>
      <c r="AJ109" s="91"/>
      <c r="AK109" s="91"/>
      <c r="AL109" s="91"/>
      <c r="AM109" s="218"/>
    </row>
    <row r="110" spans="2:39" x14ac:dyDescent="0.25">
      <c r="B110" s="46"/>
      <c r="C110" s="63" t="s">
        <v>308</v>
      </c>
      <c r="D110" s="47"/>
      <c r="E110" s="991"/>
      <c r="F110" s="990"/>
      <c r="G110" s="398"/>
      <c r="H110" s="399"/>
      <c r="I110" s="48"/>
      <c r="J110" s="47"/>
      <c r="K110" s="47"/>
      <c r="L110" s="47"/>
      <c r="M110" s="47"/>
      <c r="N110" s="106"/>
      <c r="O110" s="107">
        <f>IF(AND(E110="",F110="",G110="",H110=""),0,IFERROR(Z110*AC110,'Hidden Lists and Summaries'!$C$158))</f>
        <v>0</v>
      </c>
      <c r="P110" s="108" t="s">
        <v>90</v>
      </c>
      <c r="Q110" s="49"/>
      <c r="Y110" s="217" t="e">
        <f>VLOOKUP(F110,CO2Equivalence[],2,FALSE)</f>
        <v>#N/A</v>
      </c>
      <c r="Z110" s="91" t="e">
        <f t="shared" si="3"/>
        <v>#N/A</v>
      </c>
      <c r="AA110" s="510" t="e">
        <f>IF(F110='Key Values'!$B$221,VLOOKUP('LOHC - Hydrogenation'!E110,IndustrialProcessEmissions[],3,FALSE),VLOOKUP('LOHC - Hydrogenation'!E110,IndustrialProcessEmissions[],2,FALSE))</f>
        <v>#N/A</v>
      </c>
      <c r="AB110" s="284" t="e">
        <f>VLOOKUP(H110,massConv[#All], 3, FALSE)*G110</f>
        <v>#N/A</v>
      </c>
      <c r="AC110" s="300" t="e">
        <f t="shared" si="2"/>
        <v>#N/A</v>
      </c>
      <c r="AD110" s="91"/>
      <c r="AE110" s="91"/>
      <c r="AF110" s="218"/>
      <c r="AG110" s="91"/>
      <c r="AH110" s="217"/>
      <c r="AI110" s="91"/>
      <c r="AJ110" s="91"/>
      <c r="AK110" s="91"/>
      <c r="AL110" s="91"/>
      <c r="AM110" s="218"/>
    </row>
    <row r="111" spans="2:39" ht="15.65" customHeight="1" x14ac:dyDescent="0.25">
      <c r="B111" s="46"/>
      <c r="C111" s="63" t="s">
        <v>309</v>
      </c>
      <c r="D111" s="47"/>
      <c r="E111" s="989"/>
      <c r="F111" s="990"/>
      <c r="G111" s="398"/>
      <c r="H111" s="399"/>
      <c r="I111" s="48"/>
      <c r="J111" s="47"/>
      <c r="K111" s="47"/>
      <c r="L111" s="47"/>
      <c r="M111" s="47"/>
      <c r="N111" s="106"/>
      <c r="O111" s="107">
        <f>IF(AND(E111="",F111="",G111="",H111=""),0,IFERROR(Z111*AC111,'Hidden Lists and Summaries'!$C$158))</f>
        <v>0</v>
      </c>
      <c r="P111" s="108" t="s">
        <v>90</v>
      </c>
      <c r="Q111" s="49"/>
      <c r="Y111" s="217" t="e">
        <f>VLOOKUP(F111,CO2Equivalence[],2,FALSE)</f>
        <v>#N/A</v>
      </c>
      <c r="Z111" s="91" t="e">
        <f t="shared" si="3"/>
        <v>#N/A</v>
      </c>
      <c r="AA111" s="510" t="e">
        <f>IF(F111='Key Values'!$B$221,VLOOKUP('LOHC - Hydrogenation'!E111,IndustrialProcessEmissions[],3,FALSE),VLOOKUP('LOHC - Hydrogenation'!E111,IndustrialProcessEmissions[],2,FALSE))</f>
        <v>#N/A</v>
      </c>
      <c r="AB111" s="284" t="e">
        <f>VLOOKUP(H111,massConv[#All], 3, FALSE)*G111</f>
        <v>#N/A</v>
      </c>
      <c r="AC111" s="300" t="e">
        <f t="shared" si="2"/>
        <v>#N/A</v>
      </c>
      <c r="AD111" s="91"/>
      <c r="AE111" s="91"/>
      <c r="AF111" s="218"/>
      <c r="AG111" s="91"/>
      <c r="AH111" s="217"/>
      <c r="AI111" s="91"/>
      <c r="AJ111" s="91"/>
      <c r="AK111" s="91"/>
      <c r="AL111" s="91"/>
      <c r="AM111" s="218"/>
    </row>
    <row r="112" spans="2:39" ht="15.65" customHeight="1" x14ac:dyDescent="0.25">
      <c r="B112" s="46"/>
      <c r="C112" s="63" t="s">
        <v>310</v>
      </c>
      <c r="D112" s="47"/>
      <c r="E112" s="989"/>
      <c r="F112" s="990"/>
      <c r="G112" s="398"/>
      <c r="H112" s="399"/>
      <c r="I112" s="48"/>
      <c r="J112" s="47"/>
      <c r="K112" s="47"/>
      <c r="L112" s="47"/>
      <c r="M112" s="47"/>
      <c r="N112" s="106"/>
      <c r="O112" s="107">
        <f>IF(AND(E112="",F112="",G112="",H112=""),0,IFERROR(Z112*AC112,'Hidden Lists and Summaries'!$C$158))</f>
        <v>0</v>
      </c>
      <c r="P112" s="108" t="s">
        <v>90</v>
      </c>
      <c r="Q112" s="49"/>
      <c r="Y112" s="217" t="e">
        <f>VLOOKUP(F112,CO2Equivalence[],2,FALSE)</f>
        <v>#N/A</v>
      </c>
      <c r="Z112" s="91" t="e">
        <f t="shared" si="3"/>
        <v>#N/A</v>
      </c>
      <c r="AA112" s="510" t="e">
        <f>IF(F112='Key Values'!$B$221,VLOOKUP('LOHC - Hydrogenation'!E112,IndustrialProcessEmissions[],3,FALSE),VLOOKUP('LOHC - Hydrogenation'!E112,IndustrialProcessEmissions[],2,FALSE))</f>
        <v>#N/A</v>
      </c>
      <c r="AB112" s="284" t="e">
        <f>VLOOKUP(H112,massConv[#All], 3, FALSE)*G112</f>
        <v>#N/A</v>
      </c>
      <c r="AC112" s="300" t="e">
        <f t="shared" si="2"/>
        <v>#N/A</v>
      </c>
      <c r="AD112" s="91"/>
      <c r="AE112" s="91"/>
      <c r="AF112" s="218"/>
      <c r="AG112" s="91"/>
      <c r="AH112" s="217"/>
      <c r="AI112" s="91"/>
      <c r="AJ112" s="91"/>
      <c r="AK112" s="91"/>
      <c r="AL112" s="91"/>
      <c r="AM112" s="218"/>
    </row>
    <row r="113" spans="2:39" ht="15.65" customHeight="1" x14ac:dyDescent="0.25">
      <c r="B113" s="46"/>
      <c r="C113" s="63" t="s">
        <v>311</v>
      </c>
      <c r="D113" s="47"/>
      <c r="E113" s="992"/>
      <c r="F113" s="993"/>
      <c r="G113" s="359"/>
      <c r="H113" s="400"/>
      <c r="I113" s="48"/>
      <c r="J113" s="47"/>
      <c r="K113" s="47"/>
      <c r="L113" s="47"/>
      <c r="M113" s="47"/>
      <c r="N113" s="106"/>
      <c r="O113" s="107">
        <f>IF(AND(E113="",F113="",G113="",H113=""),0,IFERROR(Z113*AC113,'Hidden Lists and Summaries'!$C$158))</f>
        <v>0</v>
      </c>
      <c r="P113" s="108" t="s">
        <v>90</v>
      </c>
      <c r="Q113" s="49"/>
      <c r="Y113" s="224" t="e">
        <f>VLOOKUP(F113,CO2Equivalence[],2,FALSE)</f>
        <v>#N/A</v>
      </c>
      <c r="Z113" s="185" t="e">
        <f t="shared" si="3"/>
        <v>#N/A</v>
      </c>
      <c r="AA113" s="511" t="e">
        <f>IF(F113='Key Values'!$B$221,VLOOKUP('LOHC - Hydrogenation'!E113,IndustrialProcessEmissions[],3,FALSE),VLOOKUP('LOHC - Hydrogenation'!E113,IndustrialProcessEmissions[],2,FALSE))</f>
        <v>#N/A</v>
      </c>
      <c r="AB113" s="325" t="e">
        <f>VLOOKUP(H113,massConv[#All], 3, FALSE)*G113</f>
        <v>#N/A</v>
      </c>
      <c r="AC113" s="301" t="e">
        <f t="shared" si="2"/>
        <v>#N/A</v>
      </c>
      <c r="AD113" s="91"/>
      <c r="AE113" s="91"/>
      <c r="AF113" s="218"/>
      <c r="AG113" s="91"/>
      <c r="AH113" s="217"/>
      <c r="AI113" s="91"/>
      <c r="AJ113" s="91"/>
      <c r="AK113" s="91"/>
      <c r="AL113" s="91"/>
      <c r="AM113" s="218"/>
    </row>
    <row r="114" spans="2:39" ht="15.65" customHeight="1" x14ac:dyDescent="0.25">
      <c r="B114" s="53"/>
      <c r="C114" s="54"/>
      <c r="D114" s="54"/>
      <c r="E114" s="54"/>
      <c r="F114" s="54"/>
      <c r="G114" s="54"/>
      <c r="H114" s="65"/>
      <c r="I114" s="65"/>
      <c r="J114" s="54"/>
      <c r="K114" s="54"/>
      <c r="L114" s="54"/>
      <c r="M114" s="54"/>
      <c r="N114" s="109" t="s">
        <v>120</v>
      </c>
      <c r="O114" s="72">
        <f>SUM(O107:O113)</f>
        <v>0</v>
      </c>
      <c r="P114" s="110" t="s">
        <v>90</v>
      </c>
      <c r="Q114" s="55"/>
      <c r="Y114" s="217"/>
      <c r="Z114" s="91"/>
      <c r="AA114" s="91"/>
      <c r="AB114" s="91"/>
      <c r="AC114" s="91"/>
      <c r="AD114" s="91"/>
      <c r="AE114" s="91"/>
      <c r="AF114" s="218"/>
      <c r="AG114" s="91"/>
      <c r="AH114" s="217"/>
      <c r="AI114" s="91">
        <f>O114</f>
        <v>0</v>
      </c>
      <c r="AJ114" s="91"/>
      <c r="AK114" s="91" t="str">
        <f>'Hidden Lists and Summaries'!$B$9</f>
        <v>Industrial Process</v>
      </c>
      <c r="AL114" s="91"/>
      <c r="AM114" s="218"/>
    </row>
    <row r="115" spans="2:39" s="70" customFormat="1" ht="15.65" customHeight="1" x14ac:dyDescent="0.25">
      <c r="B115" s="56"/>
      <c r="C115" s="56"/>
      <c r="D115" s="56"/>
      <c r="E115" s="196"/>
      <c r="F115" s="196"/>
      <c r="G115" s="56"/>
      <c r="H115" s="206"/>
      <c r="I115" s="68"/>
      <c r="J115" s="56"/>
      <c r="K115" s="196"/>
      <c r="L115" s="56"/>
      <c r="M115" s="56"/>
      <c r="N115" s="69"/>
      <c r="O115" s="56"/>
      <c r="P115" s="56"/>
      <c r="Q115" s="56"/>
      <c r="Y115" s="219"/>
      <c r="Z115" s="68"/>
      <c r="AA115" s="68"/>
      <c r="AB115" s="68"/>
      <c r="AC115" s="68"/>
      <c r="AD115" s="68"/>
      <c r="AE115" s="68"/>
      <c r="AF115" s="220"/>
      <c r="AG115" s="68"/>
      <c r="AH115" s="219"/>
      <c r="AI115" s="68"/>
      <c r="AJ115" s="68"/>
      <c r="AK115" s="68"/>
      <c r="AL115" s="68"/>
      <c r="AM115" s="220"/>
    </row>
    <row r="116" spans="2:39" s="70" customFormat="1" ht="15.65" customHeight="1" x14ac:dyDescent="0.25">
      <c r="B116" s="133"/>
      <c r="C116" s="134"/>
      <c r="D116" s="134"/>
      <c r="E116" s="134"/>
      <c r="F116" s="134"/>
      <c r="G116" s="134"/>
      <c r="H116" s="186"/>
      <c r="I116" s="186"/>
      <c r="J116" s="134"/>
      <c r="K116" s="134"/>
      <c r="L116" s="134"/>
      <c r="M116" s="134"/>
      <c r="N116" s="205"/>
      <c r="O116" s="134"/>
      <c r="P116" s="134"/>
      <c r="Q116" s="135"/>
      <c r="Y116" s="219"/>
      <c r="Z116" s="68"/>
      <c r="AA116" s="68"/>
      <c r="AB116" s="68"/>
      <c r="AC116" s="68"/>
      <c r="AD116" s="68"/>
      <c r="AE116" s="68"/>
      <c r="AF116" s="220"/>
      <c r="AG116" s="68"/>
      <c r="AH116" s="219"/>
      <c r="AI116" s="68"/>
      <c r="AJ116" s="68"/>
      <c r="AK116" s="68"/>
      <c r="AL116" s="68"/>
      <c r="AM116" s="220"/>
    </row>
    <row r="117" spans="2:39" s="70" customFormat="1" ht="15.65" customHeight="1" x14ac:dyDescent="0.25">
      <c r="B117" s="136"/>
      <c r="C117" s="137" t="s">
        <v>312</v>
      </c>
      <c r="D117" s="138"/>
      <c r="E117" s="138"/>
      <c r="F117" s="138"/>
      <c r="G117" s="138"/>
      <c r="H117" s="139"/>
      <c r="I117" s="139"/>
      <c r="J117" s="138"/>
      <c r="K117" s="138"/>
      <c r="L117" s="138"/>
      <c r="M117" s="138"/>
      <c r="N117" s="199"/>
      <c r="O117" s="138"/>
      <c r="P117" s="138"/>
      <c r="Q117" s="140"/>
      <c r="Y117" s="282" t="s">
        <v>94</v>
      </c>
      <c r="Z117" s="68"/>
      <c r="AA117" s="68"/>
      <c r="AB117" s="68"/>
      <c r="AC117" s="68"/>
      <c r="AD117" s="68"/>
      <c r="AE117" s="68"/>
      <c r="AF117" s="220"/>
      <c r="AG117" s="68"/>
      <c r="AH117" s="219"/>
      <c r="AI117" s="68"/>
      <c r="AJ117" s="68"/>
      <c r="AK117" s="68"/>
      <c r="AL117" s="68"/>
      <c r="AM117" s="220"/>
    </row>
    <row r="118" spans="2:39" s="70" customFormat="1" ht="15.65" customHeight="1" x14ac:dyDescent="0.25">
      <c r="B118" s="176"/>
      <c r="C118" s="177"/>
      <c r="D118" s="177"/>
      <c r="E118" s="131" t="s">
        <v>313</v>
      </c>
      <c r="F118" s="130" t="s">
        <v>314</v>
      </c>
      <c r="G118" s="130" t="s">
        <v>315</v>
      </c>
      <c r="H118" s="130" t="s">
        <v>316</v>
      </c>
      <c r="I118" s="175"/>
      <c r="J118" s="177"/>
      <c r="K118" s="177"/>
      <c r="L118" s="177"/>
      <c r="M118" s="177"/>
      <c r="N118" s="207"/>
      <c r="O118" s="130" t="s">
        <v>82</v>
      </c>
      <c r="P118" s="177"/>
      <c r="Q118" s="178"/>
      <c r="Y118" s="282" t="s">
        <v>128</v>
      </c>
      <c r="Z118" s="68"/>
      <c r="AA118" s="68"/>
      <c r="AB118" s="68"/>
      <c r="AC118" s="68"/>
      <c r="AD118" s="68"/>
      <c r="AE118" s="68"/>
      <c r="AF118" s="220"/>
      <c r="AG118" s="68"/>
      <c r="AH118" s="219"/>
      <c r="AI118" s="68"/>
      <c r="AJ118" s="68"/>
      <c r="AK118" s="68"/>
      <c r="AL118" s="68"/>
      <c r="AM118" s="220"/>
    </row>
    <row r="119" spans="2:39" s="70" customFormat="1" ht="15.65" customHeight="1" x14ac:dyDescent="0.25">
      <c r="B119" s="209"/>
      <c r="C119" s="200"/>
      <c r="D119" s="200"/>
      <c r="E119" s="200"/>
      <c r="F119" s="200"/>
      <c r="G119" s="200"/>
      <c r="H119" s="200"/>
      <c r="I119" s="210"/>
      <c r="J119" s="200"/>
      <c r="K119" s="200"/>
      <c r="L119" s="200"/>
      <c r="M119" s="200"/>
      <c r="N119" s="211"/>
      <c r="O119" s="200"/>
      <c r="P119" s="165"/>
      <c r="Q119" s="212"/>
      <c r="Y119" s="312"/>
      <c r="Z119" s="68"/>
      <c r="AA119" s="68"/>
      <c r="AB119" s="68"/>
      <c r="AC119" s="68"/>
      <c r="AD119" s="68"/>
      <c r="AE119" s="68"/>
      <c r="AF119" s="220"/>
      <c r="AG119" s="68"/>
      <c r="AH119" s="219"/>
      <c r="AI119" s="68"/>
      <c r="AJ119" s="68"/>
      <c r="AK119" s="68"/>
      <c r="AL119" s="68"/>
      <c r="AM119" s="220"/>
    </row>
    <row r="120" spans="2:39" s="70" customFormat="1" ht="15.65" customHeight="1" x14ac:dyDescent="0.25">
      <c r="B120" s="46"/>
      <c r="C120" s="52" t="s">
        <v>317</v>
      </c>
      <c r="D120" s="49"/>
      <c r="E120" s="401"/>
      <c r="F120" s="362"/>
      <c r="G120" s="362"/>
      <c r="H120" s="402"/>
      <c r="I120" s="163"/>
      <c r="J120" s="52"/>
      <c r="K120" s="52"/>
      <c r="L120" s="52"/>
      <c r="M120" s="49"/>
      <c r="N120" s="201"/>
      <c r="O120" s="111">
        <f>IF(AND(F120="",G120="",H120=""),0,IFERROR(Y120,'Hidden Lists and Summaries'!$C$158))</f>
        <v>0</v>
      </c>
      <c r="P120" s="107" t="s">
        <v>90</v>
      </c>
      <c r="Q120" s="148"/>
      <c r="Y120" s="313" t="e">
        <f>G120*VLOOKUP(H120,massConv[#All],3,FALSE)</f>
        <v>#N/A</v>
      </c>
      <c r="Z120" s="68"/>
      <c r="AA120" s="68"/>
      <c r="AB120" s="68"/>
      <c r="AC120" s="68"/>
      <c r="AD120" s="68"/>
      <c r="AE120" s="68"/>
      <c r="AF120" s="220"/>
      <c r="AG120" s="68"/>
      <c r="AH120" s="219"/>
      <c r="AI120" s="68">
        <f>O120</f>
        <v>0</v>
      </c>
      <c r="AJ120" s="68"/>
      <c r="AK120" s="68">
        <f>F120</f>
        <v>0</v>
      </c>
      <c r="AL120" s="68"/>
      <c r="AM120" s="220" t="str">
        <f>IF(AI120='Hidden Lists and Summaries'!$B$5,"Other","")</f>
        <v/>
      </c>
    </row>
    <row r="121" spans="2:39" s="70" customFormat="1" ht="15.65" customHeight="1" x14ac:dyDescent="0.25">
      <c r="B121" s="46"/>
      <c r="C121" s="52" t="s">
        <v>318</v>
      </c>
      <c r="D121" s="49"/>
      <c r="E121" s="403"/>
      <c r="F121" s="366"/>
      <c r="G121" s="404"/>
      <c r="H121" s="405"/>
      <c r="I121" s="163"/>
      <c r="J121" s="52"/>
      <c r="K121" s="52"/>
      <c r="L121" s="52"/>
      <c r="M121" s="52"/>
      <c r="N121" s="202"/>
      <c r="O121" s="107">
        <f>IF(AND(F121="",G121="",H121=""),0,IFERROR(Y121,'Hidden Lists and Summaries'!$C$158))</f>
        <v>0</v>
      </c>
      <c r="P121" s="107" t="s">
        <v>90</v>
      </c>
      <c r="Q121" s="148"/>
      <c r="Y121" s="313" t="e">
        <f>G121*VLOOKUP(H121,massConv[#All],3,FALSE)</f>
        <v>#N/A</v>
      </c>
      <c r="Z121" s="68"/>
      <c r="AA121" s="68"/>
      <c r="AB121" s="68"/>
      <c r="AC121" s="68"/>
      <c r="AD121" s="68"/>
      <c r="AE121" s="68"/>
      <c r="AF121" s="220"/>
      <c r="AG121" s="68"/>
      <c r="AH121" s="219"/>
      <c r="AI121" s="68">
        <f>O121</f>
        <v>0</v>
      </c>
      <c r="AJ121" s="68"/>
      <c r="AK121" s="68">
        <f>F121</f>
        <v>0</v>
      </c>
      <c r="AL121" s="68"/>
      <c r="AM121" s="220" t="str">
        <f>IF(AI121='Hidden Lists and Summaries'!$B$5,"Other","")</f>
        <v/>
      </c>
    </row>
    <row r="122" spans="2:39" s="70" customFormat="1" ht="15.65" customHeight="1" x14ac:dyDescent="0.25">
      <c r="B122" s="46"/>
      <c r="C122" s="52" t="s">
        <v>319</v>
      </c>
      <c r="D122" s="52"/>
      <c r="E122" s="368"/>
      <c r="F122" s="366"/>
      <c r="G122" s="366"/>
      <c r="H122" s="406"/>
      <c r="I122" s="163"/>
      <c r="J122" s="52"/>
      <c r="K122" s="52"/>
      <c r="L122" s="52"/>
      <c r="M122" s="49"/>
      <c r="N122" s="198"/>
      <c r="O122" s="107">
        <f>IF(AND(F122="",G122="",H122=""),0,IFERROR(Y122,'Hidden Lists and Summaries'!$C$158))</f>
        <v>0</v>
      </c>
      <c r="P122" s="107" t="s">
        <v>90</v>
      </c>
      <c r="Q122" s="148"/>
      <c r="Y122" s="313" t="e">
        <f>G122*VLOOKUP(H122,massConv[#All],3,FALSE)</f>
        <v>#N/A</v>
      </c>
      <c r="Z122" s="68"/>
      <c r="AA122" s="68"/>
      <c r="AB122" s="68"/>
      <c r="AC122" s="68"/>
      <c r="AD122" s="68"/>
      <c r="AE122" s="68"/>
      <c r="AF122" s="220"/>
      <c r="AG122" s="68"/>
      <c r="AH122" s="219"/>
      <c r="AI122" s="68">
        <f>O122</f>
        <v>0</v>
      </c>
      <c r="AJ122" s="68"/>
      <c r="AK122" s="68">
        <f>F122</f>
        <v>0</v>
      </c>
      <c r="AL122" s="68"/>
      <c r="AM122" s="220" t="str">
        <f>IF(AI122='Hidden Lists and Summaries'!$B$5,"Other","")</f>
        <v/>
      </c>
    </row>
    <row r="123" spans="2:39" s="70" customFormat="1" ht="15.65" customHeight="1" x14ac:dyDescent="0.25">
      <c r="B123" s="46"/>
      <c r="C123" s="52" t="s">
        <v>320</v>
      </c>
      <c r="D123" s="52"/>
      <c r="E123" s="407"/>
      <c r="F123" s="408"/>
      <c r="G123" s="371"/>
      <c r="H123" s="409"/>
      <c r="I123" s="163"/>
      <c r="J123" s="52"/>
      <c r="K123" s="52"/>
      <c r="L123" s="52"/>
      <c r="M123" s="52"/>
      <c r="N123" s="202"/>
      <c r="O123" s="184">
        <f>IF(AND(F123="",G123="",H123=""),0,IFERROR(Y123,'Hidden Lists and Summaries'!$C$158))</f>
        <v>0</v>
      </c>
      <c r="P123" s="195" t="s">
        <v>90</v>
      </c>
      <c r="Q123" s="148"/>
      <c r="Y123" s="314" t="e">
        <f>G123*VLOOKUP(H123,massConv[#All],3,FALSE)</f>
        <v>#N/A</v>
      </c>
      <c r="Z123" s="68"/>
      <c r="AA123" s="68"/>
      <c r="AB123" s="68"/>
      <c r="AC123" s="68"/>
      <c r="AD123" s="68"/>
      <c r="AE123" s="68"/>
      <c r="AF123" s="220"/>
      <c r="AG123" s="68"/>
      <c r="AH123" s="219"/>
      <c r="AI123" s="68">
        <f>O123</f>
        <v>0</v>
      </c>
      <c r="AJ123" s="68"/>
      <c r="AK123" s="68">
        <f>F123</f>
        <v>0</v>
      </c>
      <c r="AL123" s="68"/>
      <c r="AM123" s="220" t="str">
        <f>IF(AI123='Hidden Lists and Summaries'!$B$5,"Other","")</f>
        <v/>
      </c>
    </row>
    <row r="124" spans="2:39" s="70" customFormat="1" ht="15.65" customHeight="1" x14ac:dyDescent="0.25">
      <c r="B124" s="53"/>
      <c r="C124" s="54"/>
      <c r="D124" s="54"/>
      <c r="E124" s="165"/>
      <c r="F124" s="165"/>
      <c r="G124" s="54"/>
      <c r="H124" s="213"/>
      <c r="I124" s="213"/>
      <c r="J124" s="54"/>
      <c r="K124" s="54"/>
      <c r="L124" s="54"/>
      <c r="M124" s="54"/>
      <c r="N124" s="203" t="s">
        <v>120</v>
      </c>
      <c r="O124" s="204">
        <f>SUM(O120:O123)</f>
        <v>0</v>
      </c>
      <c r="P124" s="147" t="s">
        <v>90</v>
      </c>
      <c r="Q124" s="55"/>
      <c r="Y124" s="219"/>
      <c r="Z124" s="68"/>
      <c r="AA124" s="68"/>
      <c r="AB124" s="68"/>
      <c r="AC124" s="68"/>
      <c r="AD124" s="68"/>
      <c r="AE124" s="68"/>
      <c r="AF124" s="220"/>
      <c r="AG124" s="68"/>
      <c r="AH124" s="221"/>
      <c r="AI124" s="222"/>
      <c r="AJ124" s="222"/>
      <c r="AK124" s="222"/>
      <c r="AL124" s="222"/>
      <c r="AM124" s="223"/>
    </row>
    <row r="125" spans="2:39" ht="15.65" customHeight="1" x14ac:dyDescent="0.25">
      <c r="B125" s="71"/>
      <c r="C125" s="71"/>
      <c r="D125" s="71"/>
      <c r="E125" s="71"/>
      <c r="F125" s="71"/>
      <c r="G125" s="71"/>
      <c r="H125" s="71"/>
      <c r="I125" s="71"/>
      <c r="J125" s="71"/>
      <c r="K125" s="71"/>
      <c r="L125" s="71"/>
      <c r="M125" s="71"/>
      <c r="N125" s="71"/>
      <c r="O125" s="208"/>
      <c r="P125" s="208"/>
      <c r="Q125" s="71"/>
      <c r="Y125" s="217"/>
      <c r="Z125" s="91"/>
      <c r="AA125" s="91"/>
      <c r="AB125" s="91"/>
      <c r="AC125" s="91"/>
      <c r="AD125" s="91"/>
      <c r="AE125" s="91"/>
      <c r="AF125" s="218"/>
    </row>
    <row r="126" spans="2:39" ht="15.65" customHeight="1" x14ac:dyDescent="0.25">
      <c r="B126" s="121"/>
      <c r="C126" s="122"/>
      <c r="D126" s="122"/>
      <c r="E126" s="122"/>
      <c r="F126" s="122"/>
      <c r="G126" s="122"/>
      <c r="H126" s="122"/>
      <c r="I126" s="122"/>
      <c r="J126" s="122"/>
      <c r="K126" s="122"/>
      <c r="L126" s="122"/>
      <c r="M126" s="122"/>
      <c r="N126" s="122"/>
      <c r="O126" s="122"/>
      <c r="P126" s="122"/>
      <c r="Q126" s="123"/>
      <c r="Y126" s="217"/>
      <c r="Z126" s="91"/>
      <c r="AA126" s="91"/>
      <c r="AB126" s="91"/>
      <c r="AC126" s="91"/>
      <c r="AD126" s="91"/>
      <c r="AE126" s="91"/>
      <c r="AF126" s="218"/>
    </row>
    <row r="127" spans="2:39" ht="15.65" customHeight="1" x14ac:dyDescent="0.25">
      <c r="B127" s="124"/>
      <c r="C127" s="125" t="s">
        <v>321</v>
      </c>
      <c r="D127" s="126"/>
      <c r="E127" s="126"/>
      <c r="F127" s="126"/>
      <c r="G127" s="126"/>
      <c r="H127" s="126"/>
      <c r="I127" s="126"/>
      <c r="J127" s="126"/>
      <c r="K127" s="126"/>
      <c r="L127" s="126"/>
      <c r="M127" s="126"/>
      <c r="N127" s="126"/>
      <c r="O127" s="126"/>
      <c r="P127" s="126"/>
      <c r="Q127" s="127"/>
      <c r="Y127" s="217"/>
      <c r="Z127" s="91"/>
      <c r="AA127" s="91"/>
      <c r="AB127" s="91"/>
      <c r="AC127" s="91"/>
      <c r="AD127" s="91"/>
      <c r="AE127" s="91"/>
      <c r="AF127" s="218"/>
    </row>
    <row r="128" spans="2:39" ht="15.65" customHeight="1" x14ac:dyDescent="0.25">
      <c r="B128" s="171"/>
      <c r="C128" s="153"/>
      <c r="D128" s="153"/>
      <c r="E128" s="130" t="s">
        <v>322</v>
      </c>
      <c r="F128" s="130" t="s">
        <v>184</v>
      </c>
      <c r="G128" s="172"/>
      <c r="H128" s="131"/>
      <c r="I128" s="131"/>
      <c r="J128" s="172"/>
      <c r="K128" s="172"/>
      <c r="L128" s="172"/>
      <c r="M128" s="172"/>
      <c r="N128" s="172"/>
      <c r="O128" s="130" t="s">
        <v>82</v>
      </c>
      <c r="P128" s="172"/>
      <c r="Q128" s="173"/>
      <c r="Y128" s="285" t="s">
        <v>109</v>
      </c>
      <c r="Z128" s="283" t="s">
        <v>324</v>
      </c>
      <c r="AA128" s="91"/>
      <c r="AB128" s="91"/>
      <c r="AC128" s="91"/>
      <c r="AD128" s="91"/>
      <c r="AE128" s="91"/>
      <c r="AF128" s="218"/>
    </row>
    <row r="129" spans="2:32" ht="15.65" customHeight="1" x14ac:dyDescent="0.25">
      <c r="B129" s="46"/>
      <c r="C129" s="47"/>
      <c r="D129" s="47"/>
      <c r="E129" s="47"/>
      <c r="F129" s="47"/>
      <c r="G129" s="47"/>
      <c r="H129" s="48"/>
      <c r="I129" s="48"/>
      <c r="J129" s="47"/>
      <c r="K129" s="47"/>
      <c r="L129" s="47"/>
      <c r="M129" s="47"/>
      <c r="N129" s="47"/>
      <c r="O129" s="47"/>
      <c r="P129" s="47"/>
      <c r="Q129" s="49"/>
      <c r="Y129" s="520" t="s">
        <v>84</v>
      </c>
      <c r="Z129" s="315" t="s">
        <v>326</v>
      </c>
      <c r="AA129" s="91"/>
      <c r="AB129" s="91"/>
      <c r="AC129" s="91"/>
      <c r="AD129" s="91"/>
      <c r="AE129" s="91"/>
      <c r="AF129" s="218"/>
    </row>
    <row r="130" spans="2:32" ht="15.65" customHeight="1" x14ac:dyDescent="0.25">
      <c r="B130" s="46"/>
      <c r="C130" s="63" t="s">
        <v>327</v>
      </c>
      <c r="D130" s="47"/>
      <c r="E130" s="410"/>
      <c r="F130" s="908" t="s">
        <v>415</v>
      </c>
      <c r="G130" s="47"/>
      <c r="H130" s="48"/>
      <c r="I130" s="48"/>
      <c r="J130" s="47"/>
      <c r="K130" s="47"/>
      <c r="L130" s="47"/>
      <c r="M130" s="47"/>
      <c r="N130" s="103"/>
      <c r="O130" s="111">
        <f>IF(E130="",0,IFERROR(Y130*Z130,'Hidden Lists and Summaries'!$C$158))</f>
        <v>0</v>
      </c>
      <c r="P130" s="105" t="s">
        <v>90</v>
      </c>
      <c r="Q130" s="49"/>
      <c r="Y130" s="298">
        <f>VLOOKUP(F130,EnergyConversionTable[#All], 3, FALSE)*E130</f>
        <v>0</v>
      </c>
      <c r="Z130" s="225">
        <f>'Key Values'!$C$149</f>
        <v>0.95499999999999996</v>
      </c>
      <c r="AA130" s="91"/>
      <c r="AB130" s="91"/>
      <c r="AC130" s="91"/>
      <c r="AD130" s="91"/>
      <c r="AE130" s="91"/>
      <c r="AF130" s="218"/>
    </row>
    <row r="131" spans="2:32" ht="15.65" customHeight="1" x14ac:dyDescent="0.25">
      <c r="B131" s="53"/>
      <c r="C131" s="54"/>
      <c r="D131" s="54"/>
      <c r="E131" s="54"/>
      <c r="F131" s="54"/>
      <c r="G131" s="54"/>
      <c r="H131" s="65"/>
      <c r="I131" s="65"/>
      <c r="J131" s="54"/>
      <c r="K131" s="54"/>
      <c r="L131" s="54"/>
      <c r="M131" s="54"/>
      <c r="N131" s="109" t="s">
        <v>120</v>
      </c>
      <c r="O131" s="72">
        <f>SUM(O130:O130)</f>
        <v>0</v>
      </c>
      <c r="P131" s="110" t="s">
        <v>90</v>
      </c>
      <c r="Q131" s="55"/>
      <c r="Y131" s="217"/>
      <c r="Z131" s="91"/>
      <c r="AA131" s="91"/>
      <c r="AB131" s="91"/>
      <c r="AC131" s="91"/>
      <c r="AD131" s="91"/>
      <c r="AE131" s="91"/>
      <c r="AF131" s="218"/>
    </row>
    <row r="132" spans="2:32" ht="15.65" customHeight="1" x14ac:dyDescent="0.25">
      <c r="B132" s="71"/>
      <c r="C132" s="71"/>
      <c r="D132" s="71"/>
      <c r="E132" s="71"/>
      <c r="F132" s="71"/>
      <c r="G132" s="71"/>
      <c r="H132" s="71"/>
      <c r="I132" s="71"/>
      <c r="J132" s="71"/>
      <c r="K132" s="71"/>
      <c r="L132" s="71"/>
      <c r="M132" s="71"/>
      <c r="N132" s="71"/>
      <c r="O132" s="71"/>
      <c r="P132" s="71"/>
      <c r="Q132" s="71"/>
      <c r="Y132" s="217"/>
      <c r="Z132" s="91"/>
      <c r="AA132" s="91"/>
      <c r="AB132" s="91"/>
      <c r="AC132" s="91"/>
      <c r="AD132" s="91"/>
      <c r="AE132" s="91"/>
      <c r="AF132" s="218"/>
    </row>
    <row r="133" spans="2:32" ht="15.65" customHeight="1" x14ac:dyDescent="0.25">
      <c r="B133" s="121"/>
      <c r="C133" s="122"/>
      <c r="D133" s="122"/>
      <c r="E133" s="122"/>
      <c r="F133" s="122"/>
      <c r="G133" s="122"/>
      <c r="H133" s="122"/>
      <c r="I133" s="122"/>
      <c r="J133" s="122"/>
      <c r="K133" s="122"/>
      <c r="L133" s="122"/>
      <c r="M133" s="122"/>
      <c r="N133" s="122"/>
      <c r="O133" s="122"/>
      <c r="P133" s="122"/>
      <c r="Q133" s="123"/>
      <c r="Y133" s="217"/>
      <c r="Z133" s="91"/>
      <c r="AA133" s="91"/>
      <c r="AB133" s="91"/>
      <c r="AC133" s="91"/>
      <c r="AD133" s="91"/>
      <c r="AE133" s="91"/>
      <c r="AF133" s="218"/>
    </row>
    <row r="134" spans="2:32" ht="15.65" customHeight="1" x14ac:dyDescent="0.25">
      <c r="B134" s="124"/>
      <c r="C134" s="125" t="s">
        <v>328</v>
      </c>
      <c r="D134" s="126"/>
      <c r="E134" s="126"/>
      <c r="F134" s="126"/>
      <c r="G134" s="126"/>
      <c r="H134" s="126"/>
      <c r="I134" s="126"/>
      <c r="J134" s="126"/>
      <c r="K134" s="126"/>
      <c r="L134" s="126"/>
      <c r="M134" s="126"/>
      <c r="N134" s="126"/>
      <c r="O134" s="126"/>
      <c r="P134" s="126"/>
      <c r="Q134" s="127"/>
      <c r="Y134" s="217"/>
      <c r="Z134" s="91"/>
      <c r="AA134" s="91"/>
      <c r="AB134" s="91"/>
      <c r="AC134" s="91"/>
      <c r="AD134" s="91"/>
      <c r="AE134" s="91"/>
      <c r="AF134" s="218"/>
    </row>
    <row r="135" spans="2:32" ht="15.65" customHeight="1" x14ac:dyDescent="0.25">
      <c r="B135" s="171"/>
      <c r="C135" s="153"/>
      <c r="D135" s="153"/>
      <c r="E135" s="241" t="s">
        <v>133</v>
      </c>
      <c r="F135" s="130" t="s">
        <v>329</v>
      </c>
      <c r="G135" s="130" t="s">
        <v>184</v>
      </c>
      <c r="H135" s="130" t="s">
        <v>263</v>
      </c>
      <c r="I135" s="131"/>
      <c r="J135" s="172"/>
      <c r="K135" s="172"/>
      <c r="L135" s="172"/>
      <c r="M135" s="172"/>
      <c r="N135" s="172"/>
      <c r="O135" s="130" t="s">
        <v>82</v>
      </c>
      <c r="P135" s="172"/>
      <c r="Q135" s="173"/>
      <c r="Y135" s="282" t="s">
        <v>77</v>
      </c>
      <c r="Z135" s="73" t="s">
        <v>330</v>
      </c>
      <c r="AA135" s="283" t="s">
        <v>331</v>
      </c>
      <c r="AB135" s="283" t="s">
        <v>123</v>
      </c>
      <c r="AC135" s="283" t="s">
        <v>264</v>
      </c>
      <c r="AD135" s="283" t="s">
        <v>265</v>
      </c>
      <c r="AE135" s="91"/>
      <c r="AF135" s="218"/>
    </row>
    <row r="136" spans="2:32" ht="15.65" customHeight="1" x14ac:dyDescent="0.25">
      <c r="B136" s="46"/>
      <c r="C136" s="47"/>
      <c r="D136" s="47"/>
      <c r="E136" s="75"/>
      <c r="F136" s="47"/>
      <c r="G136" s="47"/>
      <c r="H136" s="47"/>
      <c r="I136" s="48"/>
      <c r="J136" s="47"/>
      <c r="K136" s="47"/>
      <c r="L136" s="47"/>
      <c r="M136" s="47"/>
      <c r="N136" s="1041"/>
      <c r="O136" s="900" t="s">
        <v>325</v>
      </c>
      <c r="P136" s="898"/>
      <c r="Q136" s="49"/>
      <c r="Y136" s="282" t="s">
        <v>273</v>
      </c>
      <c r="Z136" s="74" t="s">
        <v>128</v>
      </c>
      <c r="AA136" s="290" t="s">
        <v>128</v>
      </c>
      <c r="AB136" s="282" t="s">
        <v>272</v>
      </c>
      <c r="AC136" s="283" t="s">
        <v>270</v>
      </c>
      <c r="AD136" s="283" t="s">
        <v>270</v>
      </c>
      <c r="AE136" s="91"/>
      <c r="AF136" s="218"/>
    </row>
    <row r="137" spans="2:32" ht="15.65" customHeight="1" x14ac:dyDescent="0.25">
      <c r="B137" s="46"/>
      <c r="C137" s="63" t="s">
        <v>332</v>
      </c>
      <c r="D137" s="237"/>
      <c r="E137" s="411"/>
      <c r="F137" s="357"/>
      <c r="G137" s="412"/>
      <c r="H137" s="994"/>
      <c r="I137" s="48"/>
      <c r="J137" s="47"/>
      <c r="K137" s="47"/>
      <c r="L137" s="47"/>
      <c r="M137" s="47"/>
      <c r="N137" s="106"/>
      <c r="O137" s="107">
        <f>IF(AND(E137="",F137="",G137="",H137=""),0,IFERROR(Y137*Z137,'Hidden Lists and Summaries'!$C$158))</f>
        <v>0</v>
      </c>
      <c r="P137" s="108" t="s">
        <v>90</v>
      </c>
      <c r="Q137" s="49"/>
      <c r="Y137" s="514" t="e">
        <f>(AC137+AD137)*AB137</f>
        <v>#N/A</v>
      </c>
      <c r="Z137" s="317" t="e">
        <f>VLOOKUP(G137,massConv[#All], 3, FALSE)*F137</f>
        <v>#N/A</v>
      </c>
      <c r="AA137" s="317" t="e">
        <f>VLOOKUP(G137,massConv[#All], 3, FALSE)*E137</f>
        <v>#N/A</v>
      </c>
      <c r="AB137" s="104" t="e">
        <f>VLOOKUP(H137,SteamProperties[#All],6,FALSE)</f>
        <v>#N/A</v>
      </c>
      <c r="AC137" s="104">
        <f>'Key Values'!$C$209</f>
        <v>51.53</v>
      </c>
      <c r="AD137" s="278">
        <f>IFERROR(VLOOKUP(iq_location,GaseousFuelEmbodiedEmissions[#All],IF(iq_metro,2,3),FALSE),0)</f>
        <v>0</v>
      </c>
      <c r="AE137" s="91"/>
      <c r="AF137" s="218"/>
    </row>
    <row r="138" spans="2:32" ht="15.65" customHeight="1" x14ac:dyDescent="0.25">
      <c r="B138" s="46"/>
      <c r="C138" s="63" t="s">
        <v>333</v>
      </c>
      <c r="D138" s="237"/>
      <c r="E138" s="413"/>
      <c r="F138" s="398"/>
      <c r="G138" s="414"/>
      <c r="H138" s="995"/>
      <c r="I138" s="48"/>
      <c r="J138" s="47"/>
      <c r="K138" s="47"/>
      <c r="L138" s="47"/>
      <c r="M138" s="47"/>
      <c r="N138" s="106"/>
      <c r="O138" s="107">
        <f>IF(AND(E138="",F138="",G138="",H138=""),0,IFERROR(Y138*Z138,'Hidden Lists and Summaries'!$C$158))</f>
        <v>0</v>
      </c>
      <c r="P138" s="108" t="s">
        <v>90</v>
      </c>
      <c r="Q138" s="49"/>
      <c r="Y138" s="515" t="e">
        <f t="shared" ref="Y138:Y139" si="4">(AC138+AD138)*AB138</f>
        <v>#N/A</v>
      </c>
      <c r="Z138" s="83" t="e">
        <f>VLOOKUP(G138,massConv[#All], 3, FALSE)*F138</f>
        <v>#N/A</v>
      </c>
      <c r="AA138" s="83" t="e">
        <f>VLOOKUP(G138,massConv[#All], 3, FALSE)*E138</f>
        <v>#N/A</v>
      </c>
      <c r="AB138" s="91" t="e">
        <f>VLOOKUP(H138,SteamProperties[#All],6,FALSE)</f>
        <v>#N/A</v>
      </c>
      <c r="AC138" s="91">
        <f>'Key Values'!$C$209</f>
        <v>51.53</v>
      </c>
      <c r="AD138" s="218">
        <f>IFERROR(VLOOKUP(iq_location,GaseousFuelEmbodiedEmissions[#All],IF(iq_metro,2,3),FALSE),0)</f>
        <v>0</v>
      </c>
      <c r="AE138" s="91"/>
      <c r="AF138" s="218"/>
    </row>
    <row r="139" spans="2:32" ht="15.65" customHeight="1" x14ac:dyDescent="0.25">
      <c r="B139" s="46"/>
      <c r="C139" s="63" t="s">
        <v>334</v>
      </c>
      <c r="D139" s="237"/>
      <c r="E139" s="415"/>
      <c r="F139" s="360"/>
      <c r="G139" s="416"/>
      <c r="H139" s="996"/>
      <c r="I139" s="48"/>
      <c r="J139" s="47"/>
      <c r="K139" s="47"/>
      <c r="L139" s="47"/>
      <c r="M139" s="47"/>
      <c r="N139" s="106"/>
      <c r="O139" s="339">
        <f>IF(AND(E139="",F139="",G139="",H139=""),0,IFERROR(Y139*Z139,'Hidden Lists and Summaries'!$C$158))</f>
        <v>0</v>
      </c>
      <c r="P139" s="108" t="s">
        <v>90</v>
      </c>
      <c r="Q139" s="49"/>
      <c r="Y139" s="516" t="e">
        <f t="shared" si="4"/>
        <v>#N/A</v>
      </c>
      <c r="Z139" s="318" t="e">
        <f>VLOOKUP(G139,massConv[#All], 3, FALSE)*F139</f>
        <v>#N/A</v>
      </c>
      <c r="AA139" s="318" t="e">
        <f>VLOOKUP(G139,massConv[#All], 3, FALSE)*E139</f>
        <v>#N/A</v>
      </c>
      <c r="AB139" s="185" t="e">
        <f>VLOOKUP(H139,SteamProperties[#All],6,FALSE)</f>
        <v>#N/A</v>
      </c>
      <c r="AC139" s="185">
        <f>'Key Values'!$C$209</f>
        <v>51.53</v>
      </c>
      <c r="AD139" s="225">
        <f>IFERROR(VLOOKUP(iq_location,GaseousFuelEmbodiedEmissions[#All],IF(iq_metro,2,3),FALSE),0)</f>
        <v>0</v>
      </c>
      <c r="AE139" s="91"/>
      <c r="AF139" s="218"/>
    </row>
    <row r="140" spans="2:32" ht="15.65" customHeight="1" x14ac:dyDescent="0.25">
      <c r="B140" s="53"/>
      <c r="C140" s="54"/>
      <c r="D140" s="54"/>
      <c r="E140" s="54"/>
      <c r="F140" s="54"/>
      <c r="G140" s="54"/>
      <c r="H140" s="65"/>
      <c r="I140" s="65"/>
      <c r="J140" s="54"/>
      <c r="K140" s="54"/>
      <c r="L140" s="54"/>
      <c r="M140" s="54"/>
      <c r="N140" s="109" t="s">
        <v>120</v>
      </c>
      <c r="O140" s="72">
        <f>SUM(O137:O139)</f>
        <v>0</v>
      </c>
      <c r="P140" s="110" t="s">
        <v>90</v>
      </c>
      <c r="Q140" s="55"/>
      <c r="Y140" s="217"/>
      <c r="Z140" s="91"/>
      <c r="AA140" s="91"/>
      <c r="AB140" s="91"/>
      <c r="AC140" s="91"/>
      <c r="AD140" s="91"/>
      <c r="AE140" s="91"/>
      <c r="AF140" s="218"/>
    </row>
    <row r="141" spans="2:32" ht="15.65" customHeight="1" x14ac:dyDescent="0.25">
      <c r="B141" s="71"/>
      <c r="C141" s="71"/>
      <c r="D141" s="71"/>
      <c r="E141" s="71"/>
      <c r="F141" s="71"/>
      <c r="G141" s="71"/>
      <c r="H141" s="71"/>
      <c r="I141" s="71"/>
      <c r="J141" s="71"/>
      <c r="K141" s="71"/>
      <c r="L141" s="71"/>
      <c r="M141" s="71"/>
      <c r="N141" s="71"/>
      <c r="O141" s="71"/>
      <c r="P141" s="71"/>
      <c r="Q141" s="71"/>
      <c r="Y141" s="217"/>
      <c r="Z141" s="91"/>
      <c r="AA141" s="91"/>
      <c r="AB141" s="91"/>
      <c r="AC141" s="91"/>
      <c r="AD141" s="91"/>
      <c r="AE141" s="91"/>
      <c r="AF141" s="218"/>
    </row>
    <row r="142" spans="2:32" ht="15.65" customHeight="1" x14ac:dyDescent="0.25">
      <c r="B142" s="121"/>
      <c r="C142" s="122"/>
      <c r="D142" s="122"/>
      <c r="E142" s="122"/>
      <c r="F142" s="122"/>
      <c r="G142" s="122"/>
      <c r="H142" s="122"/>
      <c r="I142" s="122"/>
      <c r="J142" s="122"/>
      <c r="K142" s="122"/>
      <c r="L142" s="122"/>
      <c r="M142" s="122"/>
      <c r="N142" s="122"/>
      <c r="O142" s="122"/>
      <c r="P142" s="122"/>
      <c r="Q142" s="123"/>
      <c r="Y142" s="217"/>
      <c r="Z142" s="91"/>
      <c r="AA142" s="91"/>
      <c r="AB142" s="91"/>
      <c r="AC142" s="91"/>
      <c r="AD142" s="91"/>
      <c r="AE142" s="91"/>
      <c r="AF142" s="218"/>
    </row>
    <row r="143" spans="2:32" ht="15.65" customHeight="1" x14ac:dyDescent="0.25">
      <c r="B143" s="124"/>
      <c r="C143" s="125" t="s">
        <v>335</v>
      </c>
      <c r="D143" s="126"/>
      <c r="E143" s="126"/>
      <c r="F143" s="126"/>
      <c r="G143" s="126"/>
      <c r="H143" s="126"/>
      <c r="I143" s="126"/>
      <c r="J143" s="126"/>
      <c r="K143" s="126"/>
      <c r="L143" s="126"/>
      <c r="M143" s="126"/>
      <c r="N143" s="126"/>
      <c r="O143" s="126"/>
      <c r="P143" s="126"/>
      <c r="Q143" s="127"/>
      <c r="Y143" s="217"/>
      <c r="Z143" s="91"/>
      <c r="AA143" s="91"/>
      <c r="AB143" s="91"/>
      <c r="AC143" s="91"/>
      <c r="AD143" s="91"/>
      <c r="AE143" s="91"/>
      <c r="AF143" s="218"/>
    </row>
    <row r="144" spans="2:32" ht="15.65" customHeight="1" x14ac:dyDescent="0.25">
      <c r="B144" s="171"/>
      <c r="C144" s="153"/>
      <c r="D144" s="153"/>
      <c r="E144" s="141" t="s">
        <v>336</v>
      </c>
      <c r="F144" s="130" t="s">
        <v>337</v>
      </c>
      <c r="G144" s="130" t="s">
        <v>184</v>
      </c>
      <c r="H144" s="131"/>
      <c r="I144" s="131"/>
      <c r="J144" s="172"/>
      <c r="K144" s="172"/>
      <c r="L144" s="172"/>
      <c r="M144" s="172"/>
      <c r="N144" s="172"/>
      <c r="O144" s="130" t="s">
        <v>82</v>
      </c>
      <c r="P144" s="172"/>
      <c r="Q144" s="173"/>
      <c r="Y144" s="296" t="s">
        <v>338</v>
      </c>
      <c r="Z144" s="283" t="s">
        <v>339</v>
      </c>
      <c r="AA144" s="283" t="s">
        <v>324</v>
      </c>
      <c r="AB144" s="283" t="s">
        <v>340</v>
      </c>
      <c r="AC144" s="91"/>
      <c r="AD144" s="91"/>
      <c r="AE144" s="91"/>
      <c r="AF144" s="218"/>
    </row>
    <row r="145" spans="2:32" ht="15.65" customHeight="1" x14ac:dyDescent="0.25">
      <c r="B145" s="46"/>
      <c r="C145" s="47"/>
      <c r="D145" s="47"/>
      <c r="E145" s="243"/>
      <c r="F145" s="47"/>
      <c r="G145" s="47"/>
      <c r="H145" s="48"/>
      <c r="I145" s="48"/>
      <c r="J145" s="47"/>
      <c r="K145" s="47"/>
      <c r="L145" s="47"/>
      <c r="M145" s="47"/>
      <c r="N145" s="1041"/>
      <c r="O145" s="900" t="s">
        <v>325</v>
      </c>
      <c r="P145" s="898"/>
      <c r="Q145" s="49"/>
      <c r="Y145" s="286" t="s">
        <v>128</v>
      </c>
      <c r="Z145" s="283" t="s">
        <v>341</v>
      </c>
      <c r="AA145" s="283" t="s">
        <v>326</v>
      </c>
      <c r="AB145" s="283" t="s">
        <v>128</v>
      </c>
      <c r="AC145" s="91"/>
      <c r="AD145" s="91"/>
      <c r="AE145" s="91"/>
      <c r="AF145" s="218"/>
    </row>
    <row r="146" spans="2:32" ht="15.65" customHeight="1" x14ac:dyDescent="0.25">
      <c r="B146" s="46"/>
      <c r="C146" s="63" t="s">
        <v>342</v>
      </c>
      <c r="D146" s="47"/>
      <c r="E146" s="417"/>
      <c r="F146" s="418"/>
      <c r="G146" s="419" t="s">
        <v>90</v>
      </c>
      <c r="H146" s="48"/>
      <c r="I146" s="48"/>
      <c r="J146" s="47"/>
      <c r="K146" s="47"/>
      <c r="L146" s="47"/>
      <c r="M146" s="47"/>
      <c r="N146" s="106"/>
      <c r="O146" s="107">
        <f>IF(AND(E146="",F146="",G146=""),0,IFERROR(Y146*Z146*AA146,'Hidden Lists and Summaries'!$C$158))</f>
        <v>0</v>
      </c>
      <c r="P146" s="108" t="s">
        <v>90</v>
      </c>
      <c r="Q146" s="49"/>
      <c r="Y146" s="324">
        <f>VLOOKUP(G146,massConv[#All], 3, FALSE)*F146</f>
        <v>0</v>
      </c>
      <c r="Z146" s="513">
        <f>'Key Values'!$C$238</f>
        <v>0.245</v>
      </c>
      <c r="AA146" s="268">
        <f>'Key Values'!$C$149</f>
        <v>0.95499999999999996</v>
      </c>
      <c r="AB146" s="341">
        <f>VLOOKUP(G146,massConv[#All], 3, FALSE)*E146</f>
        <v>0</v>
      </c>
      <c r="AC146" s="91"/>
      <c r="AD146" s="91"/>
      <c r="AE146" s="91"/>
      <c r="AF146" s="218"/>
    </row>
    <row r="147" spans="2:32" ht="15.65" customHeight="1" x14ac:dyDescent="0.25">
      <c r="B147" s="53"/>
      <c r="C147" s="54"/>
      <c r="D147" s="54"/>
      <c r="E147" s="54"/>
      <c r="F147" s="54"/>
      <c r="G147" s="54"/>
      <c r="H147" s="65"/>
      <c r="I147" s="65"/>
      <c r="J147" s="54"/>
      <c r="K147" s="54"/>
      <c r="L147" s="54"/>
      <c r="M147" s="54"/>
      <c r="N147" s="109" t="s">
        <v>120</v>
      </c>
      <c r="O147" s="72">
        <f>SUM(O146)</f>
        <v>0</v>
      </c>
      <c r="P147" s="110" t="s">
        <v>90</v>
      </c>
      <c r="Q147" s="55"/>
      <c r="Y147" s="217"/>
      <c r="Z147" s="91"/>
      <c r="AA147" s="91"/>
      <c r="AB147" s="91"/>
      <c r="AC147" s="91"/>
      <c r="AD147" s="91"/>
      <c r="AE147" s="91"/>
      <c r="AF147" s="218"/>
    </row>
    <row r="148" spans="2:32" ht="15.65" customHeight="1" x14ac:dyDescent="0.25">
      <c r="B148" s="71"/>
      <c r="C148" s="71"/>
      <c r="D148" s="71"/>
      <c r="E148" s="71"/>
      <c r="F148" s="71"/>
      <c r="G148" s="71"/>
      <c r="H148" s="71"/>
      <c r="I148" s="71"/>
      <c r="J148" s="71"/>
      <c r="K148" s="71"/>
      <c r="L148" s="71"/>
      <c r="M148" s="71"/>
      <c r="N148" s="71"/>
      <c r="O148" s="71"/>
      <c r="P148" s="71"/>
      <c r="Q148" s="71"/>
      <c r="Y148" s="217"/>
      <c r="Z148" s="91"/>
      <c r="AA148" s="91"/>
      <c r="AB148" s="91"/>
      <c r="AC148" s="91"/>
      <c r="AD148" s="91"/>
      <c r="AE148" s="91"/>
      <c r="AF148" s="218"/>
    </row>
    <row r="149" spans="2:32" ht="15.65" customHeight="1" x14ac:dyDescent="0.25">
      <c r="B149" s="121"/>
      <c r="C149" s="122"/>
      <c r="D149" s="122"/>
      <c r="E149" s="122"/>
      <c r="F149" s="122"/>
      <c r="G149" s="122"/>
      <c r="H149" s="122"/>
      <c r="I149" s="122"/>
      <c r="J149" s="122"/>
      <c r="K149" s="122"/>
      <c r="L149" s="122"/>
      <c r="M149" s="122"/>
      <c r="N149" s="122"/>
      <c r="O149" s="122"/>
      <c r="P149" s="122"/>
      <c r="Q149" s="123"/>
      <c r="Y149" s="217"/>
      <c r="Z149" s="91"/>
      <c r="AA149" s="91"/>
      <c r="AB149" s="91"/>
      <c r="AC149" s="91"/>
      <c r="AD149" s="91"/>
      <c r="AE149" s="91"/>
      <c r="AF149" s="218"/>
    </row>
    <row r="150" spans="2:32" ht="15.65" customHeight="1" x14ac:dyDescent="0.25">
      <c r="B150" s="124"/>
      <c r="C150" s="125" t="s">
        <v>864</v>
      </c>
      <c r="D150" s="126"/>
      <c r="E150" s="126"/>
      <c r="F150" s="126"/>
      <c r="G150" s="126"/>
      <c r="H150" s="126"/>
      <c r="I150" s="126"/>
      <c r="J150" s="126"/>
      <c r="K150" s="126"/>
      <c r="L150" s="126"/>
      <c r="M150" s="126"/>
      <c r="N150" s="126"/>
      <c r="O150" s="126"/>
      <c r="P150" s="126"/>
      <c r="Q150" s="127"/>
      <c r="Y150" s="217"/>
      <c r="Z150" s="91"/>
      <c r="AA150" s="91"/>
      <c r="AB150" s="91"/>
      <c r="AC150" s="91"/>
      <c r="AD150" s="91"/>
      <c r="AE150" s="91"/>
      <c r="AF150" s="218"/>
    </row>
    <row r="151" spans="2:32" ht="15.65" customHeight="1" x14ac:dyDescent="0.25">
      <c r="B151" s="171"/>
      <c r="C151" s="153"/>
      <c r="D151" s="153"/>
      <c r="E151" s="141" t="s">
        <v>336</v>
      </c>
      <c r="F151" s="130" t="s">
        <v>337</v>
      </c>
      <c r="G151" s="130" t="s">
        <v>184</v>
      </c>
      <c r="H151" s="131"/>
      <c r="I151" s="131"/>
      <c r="J151" s="172"/>
      <c r="K151" s="172"/>
      <c r="L151" s="172"/>
      <c r="M151" s="172"/>
      <c r="N151" s="172"/>
      <c r="O151" s="130" t="s">
        <v>82</v>
      </c>
      <c r="P151" s="172"/>
      <c r="Q151" s="173"/>
      <c r="Y151" s="296" t="s">
        <v>338</v>
      </c>
      <c r="Z151" s="283" t="s">
        <v>77</v>
      </c>
      <c r="AA151" s="283" t="s">
        <v>340</v>
      </c>
      <c r="AB151" s="91"/>
      <c r="AC151" s="91"/>
      <c r="AD151" s="91"/>
      <c r="AE151" s="91"/>
      <c r="AF151" s="218"/>
    </row>
    <row r="152" spans="2:32" ht="15.65" customHeight="1" x14ac:dyDescent="0.25">
      <c r="B152" s="46"/>
      <c r="C152" s="47"/>
      <c r="D152" s="47"/>
      <c r="E152" s="243"/>
      <c r="F152" s="47"/>
      <c r="G152" s="47"/>
      <c r="H152" s="48"/>
      <c r="I152" s="48"/>
      <c r="J152" s="47"/>
      <c r="K152" s="47"/>
      <c r="L152" s="47"/>
      <c r="M152" s="47"/>
      <c r="N152" s="1041"/>
      <c r="O152" s="900" t="s">
        <v>325</v>
      </c>
      <c r="P152" s="898"/>
      <c r="Q152" s="49"/>
      <c r="Y152" s="286" t="s">
        <v>128</v>
      </c>
      <c r="Z152" s="283" t="s">
        <v>865</v>
      </c>
      <c r="AA152" s="283" t="s">
        <v>128</v>
      </c>
      <c r="AB152" s="91"/>
      <c r="AC152" s="91"/>
      <c r="AD152" s="91"/>
      <c r="AE152" s="91"/>
      <c r="AF152" s="218"/>
    </row>
    <row r="153" spans="2:32" ht="15.65" customHeight="1" x14ac:dyDescent="0.25">
      <c r="B153" s="46"/>
      <c r="C153" s="63" t="s">
        <v>866</v>
      </c>
      <c r="D153" s="47"/>
      <c r="E153" s="417"/>
      <c r="F153" s="418"/>
      <c r="G153" s="419" t="s">
        <v>90</v>
      </c>
      <c r="H153" s="48"/>
      <c r="I153" s="48"/>
      <c r="J153" s="47"/>
      <c r="K153" s="47"/>
      <c r="L153" s="47"/>
      <c r="M153" s="47"/>
      <c r="N153" s="106"/>
      <c r="O153" s="107" t="str">
        <f>IF(AND(E153="",F153="",G153=""),0,IFERROR(Y153*Z153,'Hidden Lists and Summaries'!$C$158))</f>
        <v>Error -  Review inputs</v>
      </c>
      <c r="P153" s="108" t="s">
        <v>90</v>
      </c>
      <c r="Q153" s="49"/>
      <c r="Y153" s="547">
        <f>F153*VLOOKUP(G153,massConv[],3,FALSE)</f>
        <v>0</v>
      </c>
      <c r="Z153" s="268" t="e">
        <f>AA15</f>
        <v>#N/A</v>
      </c>
      <c r="AA153" s="269">
        <f>E153*VLOOKUP(G153,massConv[],3,FALSE)</f>
        <v>0</v>
      </c>
      <c r="AB153" s="91"/>
      <c r="AC153" s="91"/>
      <c r="AD153" s="91"/>
      <c r="AE153" s="91"/>
      <c r="AF153" s="218"/>
    </row>
    <row r="154" spans="2:32" ht="15.65" customHeight="1" x14ac:dyDescent="0.25">
      <c r="B154" s="53"/>
      <c r="C154" s="54"/>
      <c r="D154" s="54"/>
      <c r="E154" s="54"/>
      <c r="F154" s="54"/>
      <c r="G154" s="54"/>
      <c r="H154" s="65"/>
      <c r="I154" s="65"/>
      <c r="J154" s="54"/>
      <c r="K154" s="54"/>
      <c r="L154" s="54"/>
      <c r="M154" s="54"/>
      <c r="N154" s="109" t="s">
        <v>120</v>
      </c>
      <c r="O154" s="72">
        <f>SUM(O153)</f>
        <v>0</v>
      </c>
      <c r="P154" s="110" t="s">
        <v>90</v>
      </c>
      <c r="Q154" s="55"/>
      <c r="Y154" s="217"/>
      <c r="Z154" s="91"/>
      <c r="AA154" s="91"/>
      <c r="AB154" s="91"/>
      <c r="AC154" s="91"/>
      <c r="AD154" s="91"/>
      <c r="AE154" s="91"/>
      <c r="AF154" s="218"/>
    </row>
    <row r="155" spans="2:32" ht="15.65" customHeight="1" x14ac:dyDescent="0.25">
      <c r="B155" s="71"/>
      <c r="C155" s="71"/>
      <c r="D155" s="71"/>
      <c r="E155" s="71"/>
      <c r="F155" s="71"/>
      <c r="G155" s="71"/>
      <c r="H155" s="71"/>
      <c r="I155" s="71"/>
      <c r="J155" s="71"/>
      <c r="K155" s="71"/>
      <c r="L155" s="71"/>
      <c r="M155" s="71"/>
      <c r="N155" s="71"/>
      <c r="O155" s="71"/>
      <c r="P155" s="71"/>
      <c r="Q155" s="71"/>
      <c r="Y155" s="217"/>
      <c r="Z155" s="91"/>
      <c r="AA155" s="91"/>
      <c r="AB155" s="91"/>
      <c r="AC155" s="91"/>
      <c r="AD155" s="91"/>
      <c r="AE155" s="91"/>
      <c r="AF155" s="218"/>
    </row>
    <row r="156" spans="2:32" ht="15.65" customHeight="1" x14ac:dyDescent="0.25">
      <c r="B156" s="121"/>
      <c r="C156" s="122"/>
      <c r="D156" s="122"/>
      <c r="E156" s="122"/>
      <c r="F156" s="122"/>
      <c r="G156" s="122"/>
      <c r="H156" s="122"/>
      <c r="I156" s="122"/>
      <c r="J156" s="122"/>
      <c r="K156" s="122"/>
      <c r="L156" s="122"/>
      <c r="M156" s="122"/>
      <c r="N156" s="122"/>
      <c r="O156" s="122"/>
      <c r="P156" s="122"/>
      <c r="Q156" s="123"/>
      <c r="Y156" s="217"/>
      <c r="Z156" s="91"/>
      <c r="AA156" s="91"/>
      <c r="AB156" s="91"/>
      <c r="AC156" s="91"/>
      <c r="AD156" s="91"/>
      <c r="AE156" s="91"/>
      <c r="AF156" s="218"/>
    </row>
    <row r="157" spans="2:32" ht="15.65" customHeight="1" x14ac:dyDescent="0.25">
      <c r="B157" s="124"/>
      <c r="C157" s="125" t="s">
        <v>343</v>
      </c>
      <c r="D157" s="126"/>
      <c r="E157" s="126"/>
      <c r="F157" s="126"/>
      <c r="G157" s="126"/>
      <c r="H157" s="126"/>
      <c r="I157" s="126"/>
      <c r="J157" s="126"/>
      <c r="K157" s="126"/>
      <c r="L157" s="126"/>
      <c r="M157" s="126"/>
      <c r="N157" s="126"/>
      <c r="O157" s="126"/>
      <c r="P157" s="126"/>
      <c r="Q157" s="127"/>
      <c r="Y157" s="217"/>
      <c r="Z157" s="91"/>
      <c r="AA157" s="91"/>
      <c r="AB157" s="91"/>
      <c r="AC157" s="91"/>
      <c r="AD157" s="91"/>
      <c r="AE157" s="91"/>
      <c r="AF157" s="218"/>
    </row>
    <row r="158" spans="2:32" ht="15.65" customHeight="1" x14ac:dyDescent="0.25">
      <c r="B158" s="171"/>
      <c r="C158" s="153"/>
      <c r="D158" s="153"/>
      <c r="E158" s="241" t="s">
        <v>336</v>
      </c>
      <c r="F158" s="130" t="s">
        <v>337</v>
      </c>
      <c r="G158" s="130" t="s">
        <v>184</v>
      </c>
      <c r="H158" s="130" t="s">
        <v>344</v>
      </c>
      <c r="I158" s="131"/>
      <c r="J158" s="172"/>
      <c r="K158" s="172"/>
      <c r="L158" s="172"/>
      <c r="M158" s="172"/>
      <c r="N158" s="172"/>
      <c r="O158" s="130" t="s">
        <v>323</v>
      </c>
      <c r="P158" s="172"/>
      <c r="Q158" s="173"/>
      <c r="Y158" s="296" t="s">
        <v>340</v>
      </c>
      <c r="Z158" s="296" t="s">
        <v>338</v>
      </c>
      <c r="AA158" s="296" t="s">
        <v>345</v>
      </c>
      <c r="AB158" s="296" t="s">
        <v>346</v>
      </c>
      <c r="AC158" s="91"/>
      <c r="AD158" s="91"/>
      <c r="AE158" s="91"/>
      <c r="AF158" s="218"/>
    </row>
    <row r="159" spans="2:32" ht="15.65" customHeight="1" x14ac:dyDescent="0.25">
      <c r="B159" s="46"/>
      <c r="C159" s="47"/>
      <c r="D159" s="47"/>
      <c r="E159" s="75"/>
      <c r="F159" s="47"/>
      <c r="G159" s="47"/>
      <c r="H159" s="47"/>
      <c r="I159" s="48"/>
      <c r="J159" s="47"/>
      <c r="K159" s="47"/>
      <c r="L159" s="47"/>
      <c r="M159" s="47"/>
      <c r="N159" s="1041"/>
      <c r="O159" s="900" t="s">
        <v>325</v>
      </c>
      <c r="P159" s="898"/>
      <c r="Q159" s="49"/>
      <c r="Y159" s="286" t="s">
        <v>347</v>
      </c>
      <c r="Z159" s="286" t="s">
        <v>347</v>
      </c>
      <c r="AA159" s="286"/>
      <c r="AB159" s="286" t="s">
        <v>116</v>
      </c>
      <c r="AC159" s="91"/>
      <c r="AD159" s="91"/>
      <c r="AE159" s="91"/>
      <c r="AF159" s="218"/>
    </row>
    <row r="160" spans="2:32" ht="15.65" customHeight="1" x14ac:dyDescent="0.25">
      <c r="B160" s="46"/>
      <c r="C160" s="469" t="s">
        <v>348</v>
      </c>
      <c r="D160" s="237"/>
      <c r="E160" s="411"/>
      <c r="F160" s="357"/>
      <c r="G160" s="363"/>
      <c r="H160" s="927"/>
      <c r="I160" s="48"/>
      <c r="J160" s="47"/>
      <c r="K160" s="47"/>
      <c r="L160" s="47"/>
      <c r="M160" s="47"/>
      <c r="N160" s="106"/>
      <c r="O160" s="107">
        <f>IFERROR(AB160,'Hidden Lists and Summaries'!$C$158)</f>
        <v>0</v>
      </c>
      <c r="P160" s="108" t="s">
        <v>90</v>
      </c>
      <c r="Q160" s="49"/>
      <c r="Y160" s="274">
        <f>$E160</f>
        <v>0</v>
      </c>
      <c r="Z160" s="104">
        <f>$F160</f>
        <v>0</v>
      </c>
      <c r="AA160" s="104">
        <f>$G160</f>
        <v>0</v>
      </c>
      <c r="AB160" s="278">
        <f>$H160</f>
        <v>0</v>
      </c>
      <c r="AC160" s="91"/>
      <c r="AD160" s="91"/>
      <c r="AE160" s="91"/>
      <c r="AF160" s="218"/>
    </row>
    <row r="161" spans="1:32" ht="15.65" customHeight="1" x14ac:dyDescent="0.25">
      <c r="B161" s="46"/>
      <c r="C161" s="1068" t="s">
        <v>349</v>
      </c>
      <c r="D161" s="237"/>
      <c r="E161" s="413"/>
      <c r="F161" s="398"/>
      <c r="G161" s="366"/>
      <c r="H161" s="928"/>
      <c r="I161" s="48"/>
      <c r="J161" s="47"/>
      <c r="K161" s="47"/>
      <c r="L161" s="47"/>
      <c r="M161" s="47"/>
      <c r="N161" s="106"/>
      <c r="O161" s="107">
        <f>IFERROR(AB161,'Hidden Lists and Summaries'!$C$158)</f>
        <v>0</v>
      </c>
      <c r="P161" s="108" t="s">
        <v>90</v>
      </c>
      <c r="Q161" s="49"/>
      <c r="Y161" s="217">
        <f t="shared" ref="Y161:Y162" si="5">$E161</f>
        <v>0</v>
      </c>
      <c r="Z161" s="91">
        <f t="shared" ref="Z161:Z162" si="6">$F161</f>
        <v>0</v>
      </c>
      <c r="AA161" s="91">
        <f t="shared" ref="AA161:AA162" si="7">$G161</f>
        <v>0</v>
      </c>
      <c r="AB161" s="218">
        <f t="shared" ref="AB161:AB162" si="8">$H161</f>
        <v>0</v>
      </c>
      <c r="AC161" s="91"/>
      <c r="AD161" s="91"/>
      <c r="AE161" s="91"/>
      <c r="AF161" s="218"/>
    </row>
    <row r="162" spans="1:32" ht="15.65" customHeight="1" x14ac:dyDescent="0.25">
      <c r="B162" s="46"/>
      <c r="C162" s="470" t="s">
        <v>350</v>
      </c>
      <c r="D162" s="237"/>
      <c r="E162" s="415"/>
      <c r="F162" s="360"/>
      <c r="G162" s="442"/>
      <c r="H162" s="929"/>
      <c r="I162" s="48"/>
      <c r="J162" s="47"/>
      <c r="K162" s="47"/>
      <c r="L162" s="47"/>
      <c r="M162" s="47"/>
      <c r="N162" s="106"/>
      <c r="O162" s="339">
        <f>IFERROR(AB162,'Hidden Lists and Summaries'!$C$158)</f>
        <v>0</v>
      </c>
      <c r="P162" s="108" t="s">
        <v>90</v>
      </c>
      <c r="Q162" s="49"/>
      <c r="Y162" s="224">
        <f t="shared" si="5"/>
        <v>0</v>
      </c>
      <c r="Z162" s="185">
        <f t="shared" si="6"/>
        <v>0</v>
      </c>
      <c r="AA162" s="185">
        <f t="shared" si="7"/>
        <v>0</v>
      </c>
      <c r="AB162" s="225">
        <f t="shared" si="8"/>
        <v>0</v>
      </c>
      <c r="AC162" s="91"/>
      <c r="AD162" s="91"/>
      <c r="AE162" s="91"/>
      <c r="AF162" s="218"/>
    </row>
    <row r="163" spans="1:32" ht="15.65" customHeight="1" x14ac:dyDescent="0.25">
      <c r="B163" s="53"/>
      <c r="C163" s="54"/>
      <c r="D163" s="54"/>
      <c r="E163" s="54"/>
      <c r="F163" s="54"/>
      <c r="G163" s="165"/>
      <c r="H163" s="65"/>
      <c r="I163" s="65"/>
      <c r="J163" s="54"/>
      <c r="K163" s="54"/>
      <c r="L163" s="54"/>
      <c r="M163" s="54"/>
      <c r="N163" s="109" t="s">
        <v>120</v>
      </c>
      <c r="O163" s="72">
        <f>SUM(O160:O162)</f>
        <v>0</v>
      </c>
      <c r="P163" s="110" t="s">
        <v>90</v>
      </c>
      <c r="Q163" s="55"/>
      <c r="Y163" s="217"/>
      <c r="Z163" s="91"/>
      <c r="AA163" s="91"/>
      <c r="AB163" s="91"/>
      <c r="AC163" s="91"/>
      <c r="AD163" s="91"/>
      <c r="AE163" s="91"/>
      <c r="AF163" s="218"/>
    </row>
    <row r="164" spans="1:32" s="70" customFormat="1" ht="15.65" customHeight="1" x14ac:dyDescent="0.25">
      <c r="B164" s="56"/>
      <c r="C164" s="56"/>
      <c r="D164" s="56"/>
      <c r="E164" s="56"/>
      <c r="F164" s="56"/>
      <c r="G164" s="56"/>
      <c r="H164" s="68"/>
      <c r="I164" s="68"/>
      <c r="J164" s="56"/>
      <c r="K164" s="56"/>
      <c r="L164" s="56"/>
      <c r="M164" s="56"/>
      <c r="N164" s="69"/>
      <c r="O164" s="56"/>
      <c r="P164" s="56"/>
      <c r="Q164" s="56"/>
      <c r="Y164" s="219"/>
      <c r="Z164" s="68"/>
      <c r="AA164" s="68"/>
      <c r="AB164" s="68"/>
      <c r="AC164" s="68"/>
      <c r="AD164" s="68"/>
      <c r="AE164" s="68"/>
      <c r="AF164" s="220"/>
    </row>
    <row r="165" spans="1:32" ht="15.65" customHeight="1" x14ac:dyDescent="0.25">
      <c r="A165" s="70"/>
      <c r="B165" s="121"/>
      <c r="C165" s="122"/>
      <c r="D165" s="122"/>
      <c r="E165" s="122"/>
      <c r="F165" s="122"/>
      <c r="G165" s="122"/>
      <c r="H165" s="122"/>
      <c r="I165" s="122"/>
      <c r="J165" s="122"/>
      <c r="K165" s="122"/>
      <c r="L165" s="122"/>
      <c r="M165" s="122"/>
      <c r="N165" s="122"/>
      <c r="O165" s="122"/>
      <c r="P165" s="122"/>
      <c r="Q165" s="123"/>
      <c r="Y165" s="217"/>
      <c r="Z165" s="91"/>
      <c r="AA165" s="91"/>
      <c r="AB165" s="91"/>
      <c r="AC165" s="91"/>
      <c r="AD165" s="91"/>
      <c r="AE165" s="91"/>
      <c r="AF165" s="218"/>
    </row>
    <row r="166" spans="1:32" ht="15.65" customHeight="1" x14ac:dyDescent="0.25">
      <c r="A166" s="70"/>
      <c r="B166" s="124"/>
      <c r="C166" s="145" t="s">
        <v>351</v>
      </c>
      <c r="D166" s="144"/>
      <c r="E166" s="144"/>
      <c r="F166" s="144"/>
      <c r="G166" s="144"/>
      <c r="H166" s="144"/>
      <c r="I166" s="144"/>
      <c r="J166" s="144"/>
      <c r="K166" s="144"/>
      <c r="L166" s="144"/>
      <c r="M166" s="144"/>
      <c r="N166" s="144"/>
      <c r="O166" s="144"/>
      <c r="P166" s="144"/>
      <c r="Q166" s="127"/>
      <c r="Y166" s="217"/>
      <c r="Z166" s="91"/>
      <c r="AA166" s="91"/>
      <c r="AB166" s="91"/>
      <c r="AC166" s="91"/>
      <c r="AD166" s="91"/>
      <c r="AE166" s="91"/>
      <c r="AF166" s="218"/>
    </row>
    <row r="167" spans="1:32" ht="15.65" customHeight="1" x14ac:dyDescent="0.25">
      <c r="A167" s="70"/>
      <c r="B167" s="171"/>
      <c r="C167" s="153"/>
      <c r="D167" s="153"/>
      <c r="E167" s="130" t="s">
        <v>352</v>
      </c>
      <c r="F167" s="130" t="s">
        <v>353</v>
      </c>
      <c r="G167" s="130" t="s">
        <v>184</v>
      </c>
      <c r="H167" s="131"/>
      <c r="I167" s="131"/>
      <c r="J167" s="172"/>
      <c r="K167" s="172"/>
      <c r="L167" s="172"/>
      <c r="M167" s="172"/>
      <c r="N167" s="172"/>
      <c r="O167" s="130" t="s">
        <v>323</v>
      </c>
      <c r="P167" s="172"/>
      <c r="Q167" s="173"/>
      <c r="Y167" s="217"/>
      <c r="Z167" s="91"/>
      <c r="AA167" s="91"/>
      <c r="AB167" s="91"/>
      <c r="AC167" s="91"/>
      <c r="AD167" s="91"/>
      <c r="AE167" s="91"/>
      <c r="AF167" s="218"/>
    </row>
    <row r="168" spans="1:32" ht="15.65" customHeight="1" x14ac:dyDescent="0.25">
      <c r="A168" s="70"/>
      <c r="B168" s="46"/>
      <c r="C168" s="47"/>
      <c r="D168" s="47"/>
      <c r="E168" s="54"/>
      <c r="F168" s="47"/>
      <c r="G168" s="47"/>
      <c r="H168" s="48"/>
      <c r="I168" s="48"/>
      <c r="J168" s="47"/>
      <c r="K168" s="47"/>
      <c r="L168" s="47"/>
      <c r="M168" s="47"/>
      <c r="N168" s="47"/>
      <c r="O168" s="47"/>
      <c r="P168" s="47"/>
      <c r="Q168" s="49"/>
      <c r="Y168" s="296" t="s">
        <v>354</v>
      </c>
      <c r="Z168" s="91"/>
      <c r="AA168" s="91"/>
      <c r="AB168" s="91"/>
      <c r="AC168" s="91"/>
      <c r="AD168" s="91"/>
      <c r="AE168" s="91"/>
      <c r="AF168" s="218"/>
    </row>
    <row r="169" spans="1:32" ht="15.65" customHeight="1" x14ac:dyDescent="0.25">
      <c r="A169" s="70"/>
      <c r="B169" s="46"/>
      <c r="C169" s="47" t="s">
        <v>355</v>
      </c>
      <c r="D169" s="47"/>
      <c r="E169" s="572"/>
      <c r="F169" s="573"/>
      <c r="G169" s="909" t="s">
        <v>183</v>
      </c>
      <c r="H169" s="48"/>
      <c r="I169" s="48"/>
      <c r="J169" s="47"/>
      <c r="K169" s="47"/>
      <c r="L169" s="47"/>
      <c r="M169" s="47"/>
      <c r="N169" s="47"/>
      <c r="O169" s="47"/>
      <c r="P169" s="47"/>
      <c r="Q169" s="49"/>
      <c r="Y169" s="285" t="s">
        <v>116</v>
      </c>
      <c r="Z169" s="91"/>
      <c r="AA169" s="91"/>
      <c r="AB169" s="91"/>
      <c r="AC169" s="91"/>
      <c r="AD169" s="91"/>
      <c r="AE169" s="91"/>
      <c r="AF169" s="218"/>
    </row>
    <row r="170" spans="1:32" ht="15.65" customHeight="1" x14ac:dyDescent="0.25">
      <c r="A170" s="70"/>
      <c r="B170" s="46"/>
      <c r="C170" s="63" t="s">
        <v>356</v>
      </c>
      <c r="D170" s="47"/>
      <c r="E170" s="407"/>
      <c r="F170" s="480"/>
      <c r="G170" s="910" t="s">
        <v>183</v>
      </c>
      <c r="H170" s="48"/>
      <c r="I170" s="48"/>
      <c r="J170" s="47"/>
      <c r="K170" s="47"/>
      <c r="L170" s="47"/>
      <c r="M170" s="47"/>
      <c r="N170" s="103"/>
      <c r="O170" s="111">
        <f>IF(F170="",0,IFERROR(Y170,'Hidden Lists and Summaries'!$C$158))</f>
        <v>0</v>
      </c>
      <c r="P170" s="105" t="s">
        <v>90</v>
      </c>
      <c r="Q170" s="49"/>
      <c r="Y170" s="311">
        <f>F170*VLOOKUP(G170,massConv[#All],3,FALSE)</f>
        <v>0</v>
      </c>
      <c r="Z170" s="91"/>
      <c r="AA170" s="91"/>
      <c r="AB170" s="91"/>
      <c r="AC170" s="91"/>
      <c r="AD170" s="91"/>
      <c r="AE170" s="91"/>
      <c r="AF170" s="218"/>
    </row>
    <row r="171" spans="1:32" ht="15.65" customHeight="1" x14ac:dyDescent="0.25">
      <c r="A171" s="70"/>
      <c r="B171" s="53"/>
      <c r="C171" s="54"/>
      <c r="D171" s="54"/>
      <c r="E171" s="54"/>
      <c r="F171" s="54"/>
      <c r="G171" s="54"/>
      <c r="H171" s="65"/>
      <c r="I171" s="65"/>
      <c r="J171" s="54"/>
      <c r="K171" s="54"/>
      <c r="L171" s="54"/>
      <c r="M171" s="54"/>
      <c r="N171" s="109" t="s">
        <v>120</v>
      </c>
      <c r="O171" s="72">
        <f>SUM(O170)</f>
        <v>0</v>
      </c>
      <c r="P171" s="110" t="s">
        <v>90</v>
      </c>
      <c r="Q171" s="55"/>
      <c r="Y171" s="217"/>
      <c r="Z171" s="91"/>
      <c r="AA171" s="91"/>
      <c r="AB171" s="91"/>
      <c r="AC171" s="91"/>
      <c r="AD171" s="91"/>
      <c r="AE171" s="91"/>
      <c r="AF171" s="218"/>
    </row>
    <row r="172" spans="1:32" s="562" customFormat="1" ht="15.65" customHeight="1" x14ac:dyDescent="0.25">
      <c r="B172" s="569"/>
      <c r="C172" s="569"/>
      <c r="D172" s="569"/>
      <c r="E172" s="569"/>
      <c r="F172" s="569"/>
      <c r="G172" s="569"/>
      <c r="H172" s="564"/>
      <c r="I172" s="564"/>
      <c r="J172" s="569"/>
      <c r="K172" s="569"/>
      <c r="L172" s="569"/>
      <c r="M172" s="569"/>
      <c r="N172" s="570"/>
      <c r="O172" s="569"/>
      <c r="P172" s="569"/>
      <c r="Q172" s="569"/>
      <c r="Y172" s="563"/>
      <c r="Z172" s="564"/>
      <c r="AA172" s="564"/>
      <c r="AB172" s="564"/>
      <c r="AC172" s="564"/>
      <c r="AD172" s="564"/>
      <c r="AE172" s="564"/>
      <c r="AF172" s="565"/>
    </row>
    <row r="173" spans="1:32" s="562" customFormat="1" ht="15.65" customHeight="1" x14ac:dyDescent="0.25">
      <c r="B173" s="1042" t="str">
        <f ca="1">IF(H201&gt;0,"NOTE: Reductions and co-allocations exceed operational emissions. Excess reductions and Co-Allocations equivalent to " &amp; H201 &amp;"kg CO2-e","")</f>
        <v/>
      </c>
      <c r="C173" s="569"/>
      <c r="D173" s="569"/>
      <c r="E173" s="569"/>
      <c r="F173" s="569"/>
      <c r="G173" s="569"/>
      <c r="H173" s="564"/>
      <c r="I173" s="564"/>
      <c r="J173" s="569"/>
      <c r="K173" s="569"/>
      <c r="L173" s="569"/>
      <c r="M173" s="569"/>
      <c r="N173" s="570"/>
      <c r="O173" s="569"/>
      <c r="P173" s="569"/>
      <c r="Q173" s="569"/>
      <c r="Y173" s="563"/>
      <c r="Z173" s="564"/>
      <c r="AA173" s="564"/>
      <c r="AB173" s="564"/>
      <c r="AC173" s="564"/>
      <c r="AD173" s="564"/>
      <c r="AE173" s="564"/>
      <c r="AF173" s="565"/>
    </row>
    <row r="174" spans="1:32" s="562" customFormat="1" ht="15.65" customHeight="1" x14ac:dyDescent="0.25">
      <c r="B174" s="569"/>
      <c r="C174" s="569"/>
      <c r="D174" s="569"/>
      <c r="E174" s="569"/>
      <c r="F174" s="569"/>
      <c r="G174" s="569"/>
      <c r="H174" s="564"/>
      <c r="I174" s="564"/>
      <c r="J174" s="569"/>
      <c r="K174" s="569"/>
      <c r="L174" s="569"/>
      <c r="M174" s="569"/>
      <c r="N174" s="570"/>
      <c r="O174" s="569"/>
      <c r="P174" s="569"/>
      <c r="Q174" s="569"/>
      <c r="Y174" s="563"/>
      <c r="Z174" s="564"/>
      <c r="AA174" s="564"/>
      <c r="AB174" s="564"/>
      <c r="AC174" s="564"/>
      <c r="AD174" s="564"/>
      <c r="AE174" s="564"/>
      <c r="AF174" s="565"/>
    </row>
    <row r="175" spans="1:32" ht="15.65" customHeight="1" x14ac:dyDescent="0.25">
      <c r="B175" s="44"/>
      <c r="C175" s="45" t="s">
        <v>357</v>
      </c>
      <c r="D175" s="44"/>
      <c r="E175" s="44"/>
      <c r="F175" s="44"/>
      <c r="G175" s="44"/>
      <c r="H175" s="44"/>
      <c r="I175" s="44"/>
      <c r="J175" s="44"/>
      <c r="K175" s="44"/>
      <c r="L175" s="44"/>
      <c r="M175" s="44"/>
      <c r="N175" s="44"/>
      <c r="O175" s="44"/>
      <c r="P175" s="44"/>
      <c r="Q175" s="44"/>
      <c r="Y175" s="217"/>
      <c r="Z175" s="91"/>
      <c r="AA175" s="91"/>
      <c r="AB175" s="91"/>
      <c r="AC175" s="91"/>
      <c r="AD175" s="91"/>
      <c r="AE175" s="91"/>
      <c r="AF175" s="218"/>
    </row>
    <row r="176" spans="1:32" ht="15.65" customHeight="1" x14ac:dyDescent="0.25">
      <c r="B176" s="44"/>
      <c r="C176" s="44"/>
      <c r="D176" s="44"/>
      <c r="E176" s="44"/>
      <c r="F176" s="44"/>
      <c r="G176" s="44"/>
      <c r="H176" s="44"/>
      <c r="I176" s="44"/>
      <c r="J176" s="44"/>
      <c r="K176" s="44"/>
      <c r="L176" s="44"/>
      <c r="M176" s="44"/>
      <c r="N176" s="44"/>
      <c r="O176" s="44"/>
      <c r="P176" s="44"/>
      <c r="Q176" s="44"/>
      <c r="Y176" s="217"/>
      <c r="Z176" s="91"/>
      <c r="AA176" s="91"/>
      <c r="AB176" s="91"/>
      <c r="AC176" s="91"/>
      <c r="AD176" s="91"/>
      <c r="AE176" s="91"/>
      <c r="AF176" s="218"/>
    </row>
    <row r="177" spans="2:32" ht="15.65" customHeight="1" x14ac:dyDescent="0.25">
      <c r="B177" s="71"/>
      <c r="C177" s="71"/>
      <c r="D177" s="71"/>
      <c r="E177" s="71"/>
      <c r="F177" s="71"/>
      <c r="G177" s="71"/>
      <c r="H177" s="71"/>
      <c r="I177" s="71"/>
      <c r="J177" s="71"/>
      <c r="K177" s="71"/>
      <c r="L177" s="71"/>
      <c r="M177" s="71"/>
      <c r="N177" s="71"/>
      <c r="O177" s="71"/>
      <c r="P177" s="71"/>
      <c r="Q177" s="71"/>
      <c r="Y177" s="217"/>
      <c r="Z177" s="91"/>
      <c r="AA177" s="91"/>
      <c r="AB177" s="91"/>
      <c r="AC177" s="91"/>
      <c r="AD177" s="91"/>
      <c r="AE177" s="91"/>
      <c r="AF177" s="218"/>
    </row>
    <row r="178" spans="2:32" ht="15.65" customHeight="1" x14ac:dyDescent="0.25">
      <c r="E178" s="282" t="s">
        <v>358</v>
      </c>
      <c r="F178" s="282" t="s">
        <v>359</v>
      </c>
      <c r="G178" s="73" t="s">
        <v>360</v>
      </c>
      <c r="H178" s="283" t="s">
        <v>361</v>
      </c>
      <c r="I178" s="282" t="s">
        <v>362</v>
      </c>
      <c r="J178"/>
      <c r="K178" s="4" t="s">
        <v>800</v>
      </c>
      <c r="L178"/>
      <c r="M178"/>
      <c r="Y178" s="217"/>
      <c r="Z178" s="91"/>
      <c r="AA178" s="91"/>
      <c r="AB178" s="91"/>
      <c r="AC178" s="91"/>
      <c r="AD178" s="91"/>
      <c r="AE178" s="91"/>
      <c r="AF178" s="218"/>
    </row>
    <row r="179" spans="2:32" ht="15.65" customHeight="1" x14ac:dyDescent="0.25">
      <c r="E179" t="s">
        <v>867</v>
      </c>
      <c r="F179" t="s">
        <v>804</v>
      </c>
      <c r="G179"/>
      <c r="H179">
        <f ca="1">IFERROR(SUMIF(LOHCHydrogenationEmissionsBreakdown[Major category],'Hidden Lists and Summaries'!$B$5,LOHCHydrogenationEmissionsBreakdown[Emissions (kg CO2-e)]), 'Hidden Lists and Summaries'!$C$158)</f>
        <v>0</v>
      </c>
      <c r="I179" t="s">
        <v>90</v>
      </c>
      <c r="J179"/>
      <c r="K179" t="e">
        <f>VLOOKUP(iq_selectedPathway,$L$180:$M$182,2,FALSE)</f>
        <v>#N/A</v>
      </c>
      <c r="L179" s="4" t="s">
        <v>801</v>
      </c>
      <c r="M179" s="4" t="s">
        <v>802</v>
      </c>
      <c r="Y179" s="217"/>
      <c r="Z179" s="91"/>
      <c r="AA179" s="91"/>
      <c r="AB179" s="91"/>
      <c r="AC179" s="91"/>
      <c r="AD179" s="91"/>
      <c r="AE179" s="91"/>
      <c r="AF179" s="218"/>
    </row>
    <row r="180" spans="2:32" ht="15.65" customHeight="1" x14ac:dyDescent="0.25">
      <c r="E180" t="s">
        <v>867</v>
      </c>
      <c r="F180" t="s">
        <v>365</v>
      </c>
      <c r="G180"/>
      <c r="H180">
        <f ca="1">IFERROR(H279, 'Hidden Lists and Summaries'!$C$158)</f>
        <v>0</v>
      </c>
      <c r="I180" t="s">
        <v>90</v>
      </c>
      <c r="J180"/>
      <c r="L180" s="9" t="str" cm="1">
        <f t="array" ref="L180:L182">Table34[Pathway Category]</f>
        <v>Electrolysis</v>
      </c>
      <c r="M180" t="s">
        <v>805</v>
      </c>
      <c r="Y180" s="263"/>
      <c r="Z180" s="297"/>
      <c r="AA180" s="91"/>
      <c r="AB180" s="91"/>
      <c r="AC180" s="91"/>
      <c r="AD180" s="91"/>
      <c r="AE180" s="91"/>
      <c r="AF180" s="218"/>
    </row>
    <row r="181" spans="2:32" ht="15.65" customHeight="1" x14ac:dyDescent="0.25">
      <c r="E181" t="s">
        <v>867</v>
      </c>
      <c r="F181" t="s">
        <v>366</v>
      </c>
      <c r="G181"/>
      <c r="H181">
        <f ca="1">IFERROR(H280, 'Hidden Lists and Summaries'!$C$158)</f>
        <v>0</v>
      </c>
      <c r="I181" t="s">
        <v>90</v>
      </c>
      <c r="J181"/>
      <c r="L181" s="9" t="str">
        <v>Natural Gas Reforming</v>
      </c>
      <c r="M181" t="s">
        <v>806</v>
      </c>
      <c r="Y181" s="263"/>
      <c r="Z181" s="91"/>
      <c r="AA181" s="91"/>
      <c r="AB181" s="91"/>
      <c r="AC181" s="91"/>
      <c r="AD181" s="91"/>
      <c r="AE181" s="91"/>
      <c r="AF181" s="218"/>
    </row>
    <row r="182" spans="2:32" ht="15.65" customHeight="1" x14ac:dyDescent="0.25">
      <c r="E182" t="s">
        <v>867</v>
      </c>
      <c r="F182" t="s">
        <v>118</v>
      </c>
      <c r="G182"/>
      <c r="H182">
        <f ca="1">IFERROR(H281, 'Hidden Lists and Summaries'!$C$158)</f>
        <v>0</v>
      </c>
      <c r="I182" t="s">
        <v>90</v>
      </c>
      <c r="J182"/>
      <c r="L182" s="9" t="str">
        <v>Coal Gasification</v>
      </c>
      <c r="M182" t="s">
        <v>807</v>
      </c>
      <c r="Y182" s="263"/>
      <c r="Z182" s="91"/>
      <c r="AA182" s="91"/>
      <c r="AB182" s="91"/>
      <c r="AC182" s="91"/>
      <c r="AD182" s="91"/>
      <c r="AE182" s="91"/>
      <c r="AF182" s="218"/>
    </row>
    <row r="183" spans="2:32" ht="15.65" customHeight="1" x14ac:dyDescent="0.25">
      <c r="E183" t="s">
        <v>867</v>
      </c>
      <c r="F183" t="s">
        <v>367</v>
      </c>
      <c r="G183"/>
      <c r="H183">
        <f ca="1">IFERROR(H282, 'Hidden Lists and Summaries'!$C$158)</f>
        <v>0</v>
      </c>
      <c r="I183" t="s">
        <v>90</v>
      </c>
      <c r="J183"/>
      <c r="Y183" s="263"/>
      <c r="Z183" s="91"/>
      <c r="AA183" s="91"/>
      <c r="AB183" s="91"/>
      <c r="AC183" s="91"/>
      <c r="AD183" s="91"/>
      <c r="AE183" s="91"/>
      <c r="AF183" s="218"/>
    </row>
    <row r="184" spans="2:32" ht="15.65" customHeight="1" x14ac:dyDescent="0.25">
      <c r="E184" t="s">
        <v>867</v>
      </c>
      <c r="F184" t="s">
        <v>368</v>
      </c>
      <c r="G184"/>
      <c r="H184">
        <f ca="1">IFERROR(H283, 'Hidden Lists and Summaries'!$C$158)</f>
        <v>0</v>
      </c>
      <c r="I184" t="s">
        <v>90</v>
      </c>
      <c r="J184"/>
      <c r="Y184" s="263"/>
      <c r="Z184" s="91"/>
      <c r="AA184" s="91"/>
      <c r="AB184" s="91"/>
      <c r="AC184" s="91"/>
      <c r="AD184" s="91"/>
      <c r="AE184" s="91"/>
      <c r="AF184" s="218"/>
    </row>
    <row r="185" spans="2:32" x14ac:dyDescent="0.25">
      <c r="E185" t="s">
        <v>867</v>
      </c>
      <c r="F185" t="s">
        <v>370</v>
      </c>
      <c r="G185"/>
      <c r="H185">
        <f ca="1">IFERROR(SUM(H179:H184),'Hidden Lists and Summaries'!$C$158)</f>
        <v>0</v>
      </c>
      <c r="I185" t="s">
        <v>90</v>
      </c>
      <c r="J185"/>
      <c r="Y185" s="263"/>
      <c r="Z185" s="91"/>
      <c r="AA185" s="91"/>
      <c r="AB185" s="91"/>
      <c r="AC185" s="91"/>
      <c r="AD185" s="91"/>
      <c r="AE185" s="91"/>
      <c r="AF185" s="218"/>
    </row>
    <row r="186" spans="2:32" x14ac:dyDescent="0.25">
      <c r="E186" t="s">
        <v>867</v>
      </c>
      <c r="F186" t="s">
        <v>371</v>
      </c>
      <c r="G186"/>
      <c r="H186" t="str">
        <f ca="1">IFERROR(H185/(lohcProd_quantityProduced_tonnes*1000),'Hidden Lists and Summaries'!$C$158)</f>
        <v>Error -  Review inputs</v>
      </c>
      <c r="I186" t="e">
        <f>"kg / kg " &amp; VLOOKUP(lohcProd_pathway,Primary_Product_Table[],2,FALSE)</f>
        <v>#N/A</v>
      </c>
      <c r="J186"/>
      <c r="Y186" s="263"/>
      <c r="Z186" s="91"/>
      <c r="AA186" s="91"/>
      <c r="AB186" s="91"/>
      <c r="AC186" s="91"/>
      <c r="AD186" s="91"/>
      <c r="AE186" s="91"/>
      <c r="AF186" s="218"/>
    </row>
    <row r="187" spans="2:32" x14ac:dyDescent="0.25">
      <c r="E187" t="s">
        <v>867</v>
      </c>
      <c r="F187" t="s">
        <v>373</v>
      </c>
      <c r="G187"/>
      <c r="H187">
        <f ca="1">H284</f>
        <v>0</v>
      </c>
      <c r="I187" t="s">
        <v>90</v>
      </c>
      <c r="J187"/>
      <c r="Y187" s="263"/>
      <c r="Z187" s="91"/>
      <c r="AA187" s="91"/>
      <c r="AB187" s="91"/>
      <c r="AC187" s="91"/>
      <c r="AD187" s="91"/>
      <c r="AE187" s="91"/>
      <c r="AF187" s="218"/>
    </row>
    <row r="188" spans="2:32" ht="15.65" customHeight="1" x14ac:dyDescent="0.25">
      <c r="E188" t="s">
        <v>867</v>
      </c>
      <c r="F188" t="s">
        <v>810</v>
      </c>
      <c r="G188"/>
      <c r="H188">
        <f ca="1">IFERROR(H285,'Hidden Lists and Summaries'!$C$158)</f>
        <v>0</v>
      </c>
      <c r="I188" t="s">
        <v>90</v>
      </c>
      <c r="J188"/>
      <c r="Y188" s="263"/>
      <c r="Z188" s="91"/>
      <c r="AA188" s="91"/>
      <c r="AB188" s="91"/>
      <c r="AC188" s="91"/>
      <c r="AD188" s="91"/>
      <c r="AE188" s="91"/>
      <c r="AF188" s="218"/>
    </row>
    <row r="189" spans="2:32" ht="15.65" customHeight="1" x14ac:dyDescent="0.25">
      <c r="E189" t="s">
        <v>867</v>
      </c>
      <c r="F189" t="s">
        <v>811</v>
      </c>
      <c r="G189"/>
      <c r="H189">
        <f ca="1">IFERROR(H286,'Hidden Lists and Summaries'!$C$158)</f>
        <v>0</v>
      </c>
      <c r="I189" t="s">
        <v>90</v>
      </c>
      <c r="J189"/>
      <c r="Y189" s="263"/>
      <c r="Z189" s="91"/>
      <c r="AA189" s="91"/>
      <c r="AB189" s="91"/>
      <c r="AC189" s="91"/>
      <c r="AD189" s="91"/>
      <c r="AE189" s="91"/>
      <c r="AF189" s="218"/>
    </row>
    <row r="190" spans="2:32" ht="15.65" customHeight="1" x14ac:dyDescent="0.25">
      <c r="E190" t="s">
        <v>867</v>
      </c>
      <c r="F190" t="s">
        <v>812</v>
      </c>
      <c r="G190"/>
      <c r="H190">
        <f ca="1">IFERROR(H287,'Hidden Lists and Summaries'!$C$158)</f>
        <v>0</v>
      </c>
      <c r="I190" t="s">
        <v>90</v>
      </c>
      <c r="J190"/>
      <c r="Y190" s="217"/>
      <c r="Z190" s="91"/>
      <c r="AA190" s="91"/>
      <c r="AB190" s="91"/>
      <c r="AC190" s="91"/>
      <c r="AD190" s="91"/>
      <c r="AE190" s="91"/>
      <c r="AF190" s="218"/>
    </row>
    <row r="191" spans="2:32" ht="15.65" customHeight="1" x14ac:dyDescent="0.25">
      <c r="E191" t="s">
        <v>867</v>
      </c>
      <c r="F191" t="s">
        <v>813</v>
      </c>
      <c r="G191"/>
      <c r="H191">
        <f ca="1">IFERROR(H288,'Hidden Lists and Summaries'!$C$158)</f>
        <v>0</v>
      </c>
      <c r="I191" t="s">
        <v>90</v>
      </c>
      <c r="J191"/>
      <c r="Y191" s="217"/>
      <c r="Z191" s="91"/>
      <c r="AA191" s="91"/>
      <c r="AB191" s="91"/>
      <c r="AC191" s="91"/>
      <c r="AD191" s="91"/>
      <c r="AE191" s="91"/>
      <c r="AF191" s="218"/>
    </row>
    <row r="192" spans="2:32" ht="15.65" customHeight="1" x14ac:dyDescent="0.25">
      <c r="E192" t="s">
        <v>867</v>
      </c>
      <c r="F192" t="s">
        <v>814</v>
      </c>
      <c r="G192"/>
      <c r="H192">
        <f ca="1">H290</f>
        <v>0</v>
      </c>
      <c r="I192" t="s">
        <v>90</v>
      </c>
      <c r="J192"/>
      <c r="Y192" s="331"/>
      <c r="Z192" s="91"/>
      <c r="AA192" s="91"/>
      <c r="AB192" s="91"/>
      <c r="AC192" s="91"/>
      <c r="AD192" s="91"/>
      <c r="AE192" s="91"/>
      <c r="AF192" s="218"/>
    </row>
    <row r="193" spans="5:43" ht="15.65" customHeight="1" x14ac:dyDescent="0.25">
      <c r="E193" t="s">
        <v>867</v>
      </c>
      <c r="F193" t="s">
        <v>815</v>
      </c>
      <c r="G193"/>
      <c r="H193">
        <f ca="1">H291</f>
        <v>0</v>
      </c>
      <c r="I193" t="s">
        <v>90</v>
      </c>
      <c r="J193"/>
      <c r="Y193" s="331"/>
      <c r="Z193" s="91"/>
      <c r="AA193" s="91"/>
      <c r="AB193" s="91"/>
      <c r="AC193" s="91"/>
      <c r="AD193" s="91"/>
      <c r="AE193" s="91"/>
      <c r="AF193" s="218"/>
    </row>
    <row r="194" spans="5:43" ht="15.65" customHeight="1" x14ac:dyDescent="0.25">
      <c r="E194" t="s">
        <v>867</v>
      </c>
      <c r="F194" t="s">
        <v>816</v>
      </c>
      <c r="G194"/>
      <c r="H194">
        <f ca="1">H292</f>
        <v>0</v>
      </c>
      <c r="I194" t="s">
        <v>90</v>
      </c>
      <c r="J194"/>
      <c r="Y194" s="219"/>
      <c r="Z194" s="91"/>
      <c r="AA194" s="91"/>
      <c r="AB194" s="91"/>
      <c r="AC194" s="91"/>
      <c r="AD194" s="91"/>
      <c r="AE194" s="91"/>
      <c r="AF194" s="218"/>
    </row>
    <row r="195" spans="5:43" ht="15.65" customHeight="1" x14ac:dyDescent="0.25">
      <c r="E195" t="s">
        <v>867</v>
      </c>
      <c r="F195" t="s">
        <v>817</v>
      </c>
      <c r="G195"/>
      <c r="H195">
        <f ca="1">H293</f>
        <v>0</v>
      </c>
      <c r="I195" t="s">
        <v>90</v>
      </c>
      <c r="J195"/>
      <c r="Y195" s="219"/>
      <c r="Z195" s="91"/>
      <c r="AA195" s="91"/>
      <c r="AB195" s="91"/>
      <c r="AC195" s="91"/>
      <c r="AD195" s="91"/>
      <c r="AE195" s="91"/>
      <c r="AF195" s="218"/>
    </row>
    <row r="196" spans="5:43" ht="15.65" customHeight="1" x14ac:dyDescent="0.25">
      <c r="E196" t="s">
        <v>867</v>
      </c>
      <c r="F196" t="s">
        <v>818</v>
      </c>
      <c r="G196"/>
      <c r="H196">
        <f ca="1">H294</f>
        <v>0</v>
      </c>
      <c r="I196" t="s">
        <v>90</v>
      </c>
      <c r="J196"/>
      <c r="Y196" s="219"/>
      <c r="Z196" s="91"/>
      <c r="AA196" s="91"/>
      <c r="AB196" s="91"/>
      <c r="AC196" s="91"/>
      <c r="AD196" s="91"/>
      <c r="AE196" s="91"/>
      <c r="AF196" s="218"/>
    </row>
    <row r="197" spans="5:43" ht="15.65" customHeight="1" x14ac:dyDescent="0.25">
      <c r="E197" t="s">
        <v>867</v>
      </c>
      <c r="F197" t="s">
        <v>819</v>
      </c>
      <c r="G197"/>
      <c r="H197" s="227">
        <f ca="1">H297</f>
        <v>0</v>
      </c>
      <c r="I197" t="s">
        <v>90</v>
      </c>
      <c r="J197"/>
      <c r="Y197" s="219"/>
      <c r="Z197" s="91"/>
      <c r="AA197" s="91"/>
      <c r="AB197" s="91"/>
      <c r="AC197" s="91"/>
      <c r="AD197" s="91"/>
      <c r="AE197" s="91"/>
      <c r="AF197" s="218"/>
    </row>
    <row r="198" spans="5:43" ht="15.65" customHeight="1" x14ac:dyDescent="0.25">
      <c r="E198" t="s">
        <v>867</v>
      </c>
      <c r="F198" t="s">
        <v>384</v>
      </c>
      <c r="G198"/>
      <c r="H198">
        <f ca="1">IFERROR(H289,'Hidden Lists and Summaries'!$C$158)</f>
        <v>0</v>
      </c>
      <c r="I198" t="s">
        <v>90</v>
      </c>
      <c r="J198"/>
      <c r="Y198" s="219"/>
      <c r="Z198" s="91"/>
      <c r="AA198" s="91"/>
      <c r="AB198" s="91"/>
      <c r="AC198" s="91"/>
      <c r="AD198" s="91"/>
      <c r="AE198" s="91"/>
      <c r="AF198" s="218"/>
    </row>
    <row r="199" spans="5:43" ht="15.65" customHeight="1" x14ac:dyDescent="0.25">
      <c r="E199" t="s">
        <v>867</v>
      </c>
      <c r="F199" t="s">
        <v>385</v>
      </c>
      <c r="G199"/>
      <c r="H199">
        <f ca="1">IFERROR(H185-SUM(H188:H196)+H198,'Hidden Lists and Summaries'!$C$158)</f>
        <v>0</v>
      </c>
      <c r="I199" t="s">
        <v>90</v>
      </c>
      <c r="J199"/>
      <c r="Y199" s="219"/>
      <c r="Z199" s="91"/>
      <c r="AA199" s="91"/>
      <c r="AB199" s="91"/>
      <c r="AC199" s="91"/>
      <c r="AD199" s="91"/>
      <c r="AE199" s="91"/>
      <c r="AF199" s="218"/>
    </row>
    <row r="200" spans="5:43" ht="15.65" customHeight="1" x14ac:dyDescent="0.25">
      <c r="E200" t="s">
        <v>867</v>
      </c>
      <c r="F200" t="s">
        <v>386</v>
      </c>
      <c r="G200"/>
      <c r="H200">
        <f ca="1">IFERROR(MAX(H185-SUM(H188:H196)+H198,0),'Hidden Lists and Summaries'!$C$158)</f>
        <v>0</v>
      </c>
      <c r="I200" t="s">
        <v>90</v>
      </c>
      <c r="J200"/>
      <c r="Y200" s="219"/>
      <c r="Z200" s="91"/>
      <c r="AA200" s="91"/>
      <c r="AB200" s="91"/>
      <c r="AC200" s="91"/>
      <c r="AD200" s="91"/>
      <c r="AE200" s="91"/>
      <c r="AF200" s="218"/>
    </row>
    <row r="201" spans="5:43" ht="15.65" customHeight="1" x14ac:dyDescent="0.25">
      <c r="E201" t="s">
        <v>867</v>
      </c>
      <c r="F201" t="s">
        <v>387</v>
      </c>
      <c r="G201"/>
      <c r="H201">
        <f ca="1">IFERROR(H200-H199,'Hidden Lists and Summaries'!$C$158)</f>
        <v>0</v>
      </c>
      <c r="I201" t="s">
        <v>90</v>
      </c>
      <c r="J201"/>
      <c r="Y201" s="219"/>
      <c r="Z201" s="91"/>
      <c r="AA201" s="91"/>
      <c r="AB201" s="91"/>
      <c r="AC201" s="91"/>
      <c r="AD201" s="91"/>
      <c r="AE201" s="91"/>
      <c r="AF201" s="218"/>
    </row>
    <row r="202" spans="5:43" ht="15.65" customHeight="1" x14ac:dyDescent="0.25">
      <c r="E202" t="s">
        <v>867</v>
      </c>
      <c r="F202" t="s">
        <v>388</v>
      </c>
      <c r="G202"/>
      <c r="H202" t="str">
        <f ca="1">IFERROR(H200/(lohcProd_quantityProduced_tonnes*1000),'Hidden Lists and Summaries'!$C$158)</f>
        <v>Error -  Review inputs</v>
      </c>
      <c r="I202" t="e">
        <f>"kg / kg " &amp; VLOOKUP(lohcProd_pathway,Primary_Product_Table[],2,FALSE)</f>
        <v>#N/A</v>
      </c>
      <c r="J202"/>
      <c r="Y202" s="298"/>
      <c r="Z202" s="185"/>
      <c r="AA202" s="185"/>
      <c r="AB202" s="185"/>
      <c r="AC202" s="185"/>
      <c r="AD202" s="185"/>
      <c r="AE202" s="185"/>
      <c r="AF202" s="225"/>
    </row>
    <row r="203" spans="5:43" ht="15.65" customHeight="1" x14ac:dyDescent="0.25">
      <c r="E203" t="s">
        <v>867</v>
      </c>
      <c r="F203" t="s">
        <v>389</v>
      </c>
      <c r="G203"/>
      <c r="H203">
        <f>conditioning_transport_emissions</f>
        <v>0</v>
      </c>
      <c r="I203" t="s">
        <v>90</v>
      </c>
    </row>
    <row r="204" spans="5:43" ht="15.65" customHeight="1" x14ac:dyDescent="0.25">
      <c r="E204" t="s">
        <v>867</v>
      </c>
      <c r="F204" t="s">
        <v>390</v>
      </c>
      <c r="G204"/>
      <c r="H204">
        <f>conditioning_storage_emissions</f>
        <v>0</v>
      </c>
      <c r="I204" t="e">
        <f>"kg / kg " &amp; VLOOKUP(lohcProd_pathway,Primary_Product_Table[],2,FALSE)</f>
        <v>#N/A</v>
      </c>
      <c r="X204" s="94"/>
      <c r="Y204" s="94"/>
      <c r="Z204" s="94"/>
      <c r="AA204" s="94"/>
      <c r="AB204" s="94"/>
      <c r="AC204" s="94"/>
      <c r="AD204" s="94"/>
      <c r="AE204" s="94"/>
      <c r="AF204" s="94"/>
      <c r="AG204" s="94"/>
      <c r="AH204" s="94"/>
      <c r="AI204" s="94"/>
      <c r="AJ204" s="94"/>
      <c r="AK204" s="94"/>
      <c r="AL204" s="94"/>
      <c r="AM204" s="94"/>
      <c r="AN204" s="94"/>
      <c r="AO204" s="94"/>
      <c r="AP204" s="94"/>
      <c r="AQ204" s="94"/>
    </row>
    <row r="205" spans="5:43" ht="15.65" customHeight="1" x14ac:dyDescent="0.25">
      <c r="E205" t="s">
        <v>867</v>
      </c>
      <c r="F205" t="s">
        <v>391</v>
      </c>
      <c r="G205"/>
      <c r="H205">
        <f>SUM(H203:H204)</f>
        <v>0</v>
      </c>
      <c r="I205" t="s">
        <v>90</v>
      </c>
      <c r="X205" s="94"/>
      <c r="Y205" s="93"/>
      <c r="Z205" s="93"/>
      <c r="AA205" s="1877"/>
      <c r="AB205" s="1877"/>
      <c r="AC205" s="82"/>
      <c r="AD205" s="273"/>
      <c r="AE205" s="273"/>
      <c r="AF205" s="273"/>
      <c r="AG205" s="273"/>
      <c r="AH205" s="273"/>
      <c r="AI205" s="273"/>
      <c r="AJ205" s="273"/>
      <c r="AK205" s="273"/>
      <c r="AL205" s="94"/>
      <c r="AM205" s="94"/>
      <c r="AN205" s="94"/>
      <c r="AO205" s="94"/>
      <c r="AP205" s="94"/>
      <c r="AQ205" s="94"/>
    </row>
    <row r="206" spans="5:43" ht="15.65" customHeight="1" x14ac:dyDescent="0.25">
      <c r="E206" t="s">
        <v>867</v>
      </c>
      <c r="F206" t="s">
        <v>392</v>
      </c>
      <c r="G206"/>
      <c r="H206" t="e">
        <f>H205/(lohcProd_quantityProduced_tonnes *1000)</f>
        <v>#DIV/0!</v>
      </c>
      <c r="I206" t="s">
        <v>90</v>
      </c>
      <c r="X206" s="94"/>
      <c r="Y206" s="94"/>
      <c r="Z206" s="94"/>
      <c r="AA206" s="1877"/>
      <c r="AB206" s="1877"/>
      <c r="AC206" s="94"/>
      <c r="AD206" s="273"/>
      <c r="AE206" s="273"/>
      <c r="AF206" s="273"/>
      <c r="AG206" s="273"/>
      <c r="AH206" s="273"/>
      <c r="AI206" s="273"/>
      <c r="AJ206" s="273"/>
      <c r="AK206" s="273"/>
      <c r="AL206" s="94"/>
      <c r="AM206" s="94"/>
      <c r="AN206" s="94"/>
      <c r="AO206" s="94"/>
      <c r="AP206" s="94"/>
      <c r="AQ206" s="94"/>
    </row>
    <row r="207" spans="5:43" ht="15.65" customHeight="1" x14ac:dyDescent="0.25">
      <c r="E207" t="s">
        <v>867</v>
      </c>
      <c r="F207" t="s">
        <v>393</v>
      </c>
      <c r="G207"/>
      <c r="H207">
        <f>conditioning_transport_and_storage_losses</f>
        <v>0</v>
      </c>
      <c r="I207" t="s">
        <v>90</v>
      </c>
      <c r="X207" s="94"/>
      <c r="Y207" s="94"/>
      <c r="Z207" s="94"/>
      <c r="AA207" s="275"/>
      <c r="AB207" s="94"/>
      <c r="AC207" s="94"/>
      <c r="AD207" s="94"/>
      <c r="AE207" s="94"/>
      <c r="AF207" s="94"/>
      <c r="AG207" s="94"/>
      <c r="AH207" s="94"/>
      <c r="AI207" s="94"/>
      <c r="AJ207" s="94"/>
      <c r="AK207" s="94"/>
      <c r="AL207" s="94"/>
      <c r="AM207" s="94"/>
      <c r="AN207" s="94"/>
      <c r="AO207" s="94"/>
      <c r="AP207" s="94"/>
      <c r="AQ207" s="94"/>
    </row>
    <row r="208" spans="5:43" ht="15.65" customHeight="1" x14ac:dyDescent="0.25">
      <c r="E208" t="s">
        <v>867</v>
      </c>
      <c r="F208" t="s">
        <v>398</v>
      </c>
      <c r="G208"/>
      <c r="H208">
        <f>lohcProd_quantityProduced_tonnes * 1000 -H207</f>
        <v>0</v>
      </c>
      <c r="I208" t="s">
        <v>90</v>
      </c>
      <c r="X208" s="94"/>
      <c r="Y208" s="94"/>
      <c r="Z208" s="94"/>
      <c r="AA208" s="275"/>
      <c r="AB208" s="94"/>
      <c r="AC208" s="94"/>
      <c r="AD208" s="94"/>
      <c r="AE208" s="94"/>
      <c r="AF208" s="94"/>
      <c r="AG208" s="94"/>
      <c r="AH208" s="94"/>
      <c r="AI208" s="94"/>
      <c r="AJ208" s="94"/>
      <c r="AK208" s="94"/>
      <c r="AL208" s="94"/>
      <c r="AM208" s="94"/>
      <c r="AN208" s="94"/>
      <c r="AO208" s="94"/>
      <c r="AP208" s="94"/>
      <c r="AQ208" s="94"/>
    </row>
    <row r="209" spans="5:43" ht="15.65" customHeight="1" x14ac:dyDescent="0.25">
      <c r="E209" t="s">
        <v>867</v>
      </c>
      <c r="F209" t="s">
        <v>395</v>
      </c>
      <c r="G209"/>
      <c r="H209" t="e">
        <f ca="1">H207/(lohcProd_quantityProduced_tonnes*1000)*SUM(H186,H206)</f>
        <v>#DIV/0!</v>
      </c>
      <c r="I209" t="e">
        <f>"kg / kg " &amp; VLOOKUP(lohcProd_pathway,Primary_Product_Table[],2,FALSE)</f>
        <v>#N/A</v>
      </c>
      <c r="X209" s="94"/>
      <c r="Y209" s="94"/>
      <c r="Z209" s="94"/>
      <c r="AA209" s="275"/>
      <c r="AB209" s="94"/>
      <c r="AC209" s="94"/>
      <c r="AD209" s="94"/>
      <c r="AE209" s="94"/>
      <c r="AF209" s="94"/>
      <c r="AG209" s="94"/>
      <c r="AH209" s="94"/>
      <c r="AI209" s="94"/>
      <c r="AJ209" s="94"/>
      <c r="AK209" s="94"/>
      <c r="AL209" s="94"/>
      <c r="AM209" s="94"/>
      <c r="AN209" s="94"/>
      <c r="AO209" s="94"/>
      <c r="AP209" s="94"/>
      <c r="AQ209" s="94"/>
    </row>
    <row r="210" spans="5:43" ht="15.65" customHeight="1" x14ac:dyDescent="0.25">
      <c r="E210" t="s">
        <v>867</v>
      </c>
      <c r="F210" t="s">
        <v>397</v>
      </c>
      <c r="G210"/>
      <c r="H210" t="e">
        <f ca="1">H207/(lohcProd_quantityProduced_tonnes*1000)*SUM(lohcProd_netEmissionsIntensity,H206)</f>
        <v>#DIV/0!</v>
      </c>
      <c r="I210" t="e">
        <f>"kg / kg " &amp; VLOOKUP(lohcProd_pathway,Primary_Product_Table[],2,FALSE)</f>
        <v>#N/A</v>
      </c>
      <c r="X210" s="94"/>
      <c r="Y210" s="94"/>
      <c r="Z210" s="94"/>
      <c r="AA210" s="275"/>
      <c r="AB210" s="94"/>
      <c r="AC210" s="94"/>
      <c r="AD210" s="94"/>
      <c r="AE210" s="94"/>
      <c r="AF210" s="94"/>
      <c r="AG210" s="94"/>
      <c r="AH210" s="94"/>
      <c r="AI210" s="94"/>
      <c r="AJ210" s="94"/>
      <c r="AK210" s="94"/>
      <c r="AL210" s="94"/>
      <c r="AM210" s="94"/>
      <c r="AN210" s="94"/>
      <c r="AO210" s="94"/>
      <c r="AP210" s="94"/>
      <c r="AQ210" s="94"/>
    </row>
    <row r="211" spans="5:43" ht="15.65" customHeight="1" x14ac:dyDescent="0.25">
      <c r="E211" t="s">
        <v>867</v>
      </c>
      <c r="F211" t="s">
        <v>399</v>
      </c>
      <c r="G211"/>
      <c r="H211" t="e">
        <f ca="1">SUM(H186,H206,H209)</f>
        <v>#DIV/0!</v>
      </c>
      <c r="I211" t="e">
        <f>"kg / kg " &amp; VLOOKUP(lohcProd_pathway,Primary_Product_Table[],2,FALSE)</f>
        <v>#N/A</v>
      </c>
      <c r="X211" s="94"/>
      <c r="Y211" s="94"/>
      <c r="Z211" s="94"/>
      <c r="AA211" s="94"/>
      <c r="AB211" s="94"/>
      <c r="AC211" s="94"/>
      <c r="AD211" s="94"/>
      <c r="AE211" s="94"/>
      <c r="AF211" s="94"/>
      <c r="AG211" s="94"/>
      <c r="AH211" s="94"/>
      <c r="AI211" s="94"/>
      <c r="AJ211" s="94"/>
      <c r="AK211" s="94"/>
      <c r="AL211" s="94"/>
      <c r="AM211" s="94"/>
      <c r="AN211" s="94"/>
      <c r="AO211" s="94"/>
      <c r="AP211" s="94"/>
      <c r="AQ211" s="94"/>
    </row>
    <row r="212" spans="5:43" ht="15.65" customHeight="1" x14ac:dyDescent="0.25">
      <c r="E212" t="s">
        <v>867</v>
      </c>
      <c r="F212" t="s">
        <v>400</v>
      </c>
      <c r="G212"/>
      <c r="H212" t="e">
        <f ca="1">SUM(lohcProd_netEmissionsIntensity,H206,H210)</f>
        <v>#DIV/0!</v>
      </c>
      <c r="I212" t="e">
        <f>"kg / kg " &amp; VLOOKUP(lohcProd_pathway,Primary_Product_Table[],2,FALSE)</f>
        <v>#N/A</v>
      </c>
      <c r="X212" s="94"/>
      <c r="Y212" s="94"/>
      <c r="Z212" s="94"/>
      <c r="AA212" s="94"/>
      <c r="AB212" s="94"/>
      <c r="AC212" s="94"/>
      <c r="AD212" s="94"/>
      <c r="AE212" s="94"/>
      <c r="AF212" s="94"/>
      <c r="AG212" s="94"/>
      <c r="AH212" s="94"/>
      <c r="AI212" s="94"/>
      <c r="AJ212" s="94"/>
      <c r="AK212" s="94"/>
      <c r="AL212" s="94"/>
      <c r="AM212" s="94"/>
      <c r="AN212" s="94"/>
      <c r="AO212" s="94"/>
      <c r="AP212" s="94"/>
      <c r="AQ212" s="94"/>
    </row>
    <row r="213" spans="5:43" ht="15.65" customHeight="1" x14ac:dyDescent="0.25">
      <c r="E213" t="s">
        <v>867</v>
      </c>
      <c r="F213" t="s">
        <v>401</v>
      </c>
      <c r="G213"/>
      <c r="H213">
        <f>iq_name</f>
        <v>0</v>
      </c>
      <c r="I213"/>
      <c r="X213" s="94"/>
      <c r="Y213" s="94"/>
      <c r="Z213" s="94"/>
      <c r="AA213" s="94"/>
      <c r="AB213" s="94"/>
      <c r="AC213" s="94"/>
      <c r="AD213" s="94"/>
      <c r="AE213" s="94"/>
      <c r="AF213" s="94"/>
      <c r="AG213" s="94"/>
      <c r="AH213" s="94"/>
      <c r="AI213" s="94"/>
      <c r="AJ213" s="94"/>
      <c r="AK213" s="94"/>
      <c r="AL213" s="94"/>
      <c r="AM213" s="94"/>
      <c r="AN213" s="94"/>
      <c r="AO213" s="94"/>
      <c r="AP213" s="94"/>
      <c r="AQ213" s="94"/>
    </row>
    <row r="214" spans="5:43" ht="15.65" customHeight="1" x14ac:dyDescent="0.25">
      <c r="E214" t="s">
        <v>867</v>
      </c>
      <c r="F214" t="s">
        <v>402</v>
      </c>
      <c r="G214"/>
      <c r="H214">
        <f>iq_location</f>
        <v>0</v>
      </c>
      <c r="I214"/>
      <c r="X214" s="94"/>
      <c r="Y214" s="1877"/>
      <c r="Z214" s="1877"/>
      <c r="AA214" s="94"/>
      <c r="AB214" s="82"/>
      <c r="AC214" s="64"/>
      <c r="AD214" s="94"/>
      <c r="AE214" s="94"/>
      <c r="AF214" s="94"/>
      <c r="AG214" s="94"/>
      <c r="AH214" s="94"/>
      <c r="AI214" s="94"/>
      <c r="AJ214" s="94"/>
      <c r="AK214" s="94"/>
      <c r="AL214" s="94"/>
      <c r="AM214" s="94"/>
      <c r="AN214" s="94"/>
      <c r="AO214" s="94"/>
      <c r="AP214" s="94"/>
      <c r="AQ214" s="94"/>
    </row>
    <row r="215" spans="5:43" ht="15.65" customHeight="1" x14ac:dyDescent="0.25">
      <c r="E215" t="s">
        <v>867</v>
      </c>
      <c r="F215" t="s">
        <v>403</v>
      </c>
      <c r="G215"/>
      <c r="H215">
        <f>lohcProd_annualCapacity_tonnes</f>
        <v>0</v>
      </c>
      <c r="I215" t="s">
        <v>821</v>
      </c>
      <c r="X215" s="94"/>
      <c r="Y215" s="93"/>
      <c r="Z215" s="93"/>
      <c r="AA215" s="1877"/>
      <c r="AB215" s="1877"/>
      <c r="AC215" s="64"/>
      <c r="AD215" s="94"/>
      <c r="AE215" s="94"/>
      <c r="AF215" s="94"/>
      <c r="AG215" s="94"/>
      <c r="AH215" s="94"/>
      <c r="AI215" s="94"/>
      <c r="AJ215" s="94"/>
      <c r="AK215" s="94"/>
      <c r="AL215" s="94"/>
      <c r="AM215" s="94"/>
      <c r="AN215" s="94"/>
      <c r="AO215" s="94"/>
      <c r="AP215" s="94"/>
      <c r="AQ215" s="94"/>
    </row>
    <row r="216" spans="5:43" x14ac:dyDescent="0.25">
      <c r="E216" t="s">
        <v>867</v>
      </c>
      <c r="F216" t="s">
        <v>405</v>
      </c>
      <c r="G216"/>
      <c r="H216" s="230">
        <f>iq_commencement</f>
        <v>0</v>
      </c>
      <c r="I216"/>
      <c r="X216" s="94"/>
      <c r="Y216" s="93"/>
      <c r="Z216" s="93"/>
      <c r="AA216" s="1877"/>
      <c r="AB216" s="1877"/>
      <c r="AC216" s="82"/>
      <c r="AD216" s="273"/>
      <c r="AE216" s="273"/>
      <c r="AF216" s="273"/>
      <c r="AG216" s="273"/>
      <c r="AH216" s="273"/>
      <c r="AI216" s="273"/>
      <c r="AJ216" s="273"/>
      <c r="AK216" s="273"/>
      <c r="AL216" s="94"/>
      <c r="AM216" s="94"/>
      <c r="AN216" s="94"/>
      <c r="AO216" s="94"/>
      <c r="AP216" s="94"/>
      <c r="AQ216" s="94"/>
    </row>
    <row r="217" spans="5:43" x14ac:dyDescent="0.25">
      <c r="E217" t="s">
        <v>867</v>
      </c>
      <c r="F217" t="s">
        <v>822</v>
      </c>
      <c r="G217"/>
      <c r="H217">
        <f>lohcProd_quantityProduced_tonnes*1000</f>
        <v>0</v>
      </c>
      <c r="I217" t="e">
        <f>"kg " &amp; VLOOKUP(lohcProd_pathway,Primary_Product_Table[],2,FALSE)</f>
        <v>#N/A</v>
      </c>
      <c r="X217" s="94"/>
      <c r="Y217" s="93"/>
      <c r="Z217" s="93"/>
      <c r="AA217" s="1877"/>
      <c r="AB217" s="1877"/>
      <c r="AC217" s="94"/>
      <c r="AD217" s="273"/>
      <c r="AE217" s="273"/>
      <c r="AF217" s="273"/>
      <c r="AG217" s="273"/>
      <c r="AH217" s="273"/>
      <c r="AI217" s="273"/>
      <c r="AJ217" s="273"/>
      <c r="AK217" s="273"/>
      <c r="AL217" s="94"/>
      <c r="AM217" s="94"/>
      <c r="AN217" s="94"/>
      <c r="AO217" s="94"/>
      <c r="AP217" s="94"/>
      <c r="AQ217" s="94"/>
    </row>
    <row r="218" spans="5:43" x14ac:dyDescent="0.25">
      <c r="E218" t="s">
        <v>867</v>
      </c>
      <c r="F218" t="s">
        <v>823</v>
      </c>
      <c r="G218"/>
      <c r="H218">
        <f>E25</f>
        <v>0</v>
      </c>
      <c r="I218"/>
      <c r="X218" s="94"/>
      <c r="Y218" s="1877"/>
      <c r="Z218" s="1877"/>
      <c r="AA218" s="94"/>
      <c r="AB218" s="82"/>
      <c r="AC218" s="64"/>
      <c r="AD218" s="273"/>
      <c r="AE218" s="273"/>
      <c r="AF218" s="273"/>
      <c r="AG218" s="273"/>
      <c r="AH218" s="273"/>
      <c r="AI218" s="273"/>
      <c r="AJ218" s="273"/>
      <c r="AK218" s="273"/>
      <c r="AL218" s="94"/>
      <c r="AM218" s="94"/>
      <c r="AN218" s="94"/>
      <c r="AO218" s="94"/>
      <c r="AP218" s="94"/>
      <c r="AQ218" s="94"/>
    </row>
    <row r="219" spans="5:43" x14ac:dyDescent="0.25">
      <c r="E219" t="s">
        <v>867</v>
      </c>
      <c r="F219" t="s">
        <v>188</v>
      </c>
      <c r="G219"/>
      <c r="H219">
        <f>E26</f>
        <v>0</v>
      </c>
      <c r="I219" t="s">
        <v>409</v>
      </c>
      <c r="X219" s="94"/>
      <c r="Y219" s="1877"/>
      <c r="Z219" s="1877"/>
      <c r="AA219" s="94"/>
      <c r="AB219" s="82"/>
      <c r="AC219" s="64"/>
      <c r="AD219" s="273"/>
      <c r="AE219" s="273"/>
      <c r="AF219" s="273"/>
      <c r="AG219" s="273"/>
      <c r="AH219" s="273"/>
      <c r="AI219" s="273"/>
      <c r="AJ219" s="273"/>
      <c r="AK219" s="273"/>
      <c r="AL219" s="94"/>
      <c r="AM219" s="94"/>
      <c r="AN219" s="94"/>
      <c r="AO219" s="94"/>
      <c r="AP219" s="94"/>
      <c r="AQ219" s="94"/>
    </row>
    <row r="220" spans="5:43" x14ac:dyDescent="0.25">
      <c r="E220" t="s">
        <v>867</v>
      </c>
      <c r="F220" t="s">
        <v>410</v>
      </c>
      <c r="G220"/>
      <c r="H220">
        <f>E27</f>
        <v>0</v>
      </c>
      <c r="I220"/>
      <c r="X220" s="94"/>
      <c r="Y220" s="94"/>
      <c r="Z220" s="94"/>
      <c r="AA220" s="94"/>
      <c r="AB220" s="82"/>
      <c r="AC220" s="94"/>
      <c r="AD220" s="273"/>
      <c r="AE220" s="273"/>
      <c r="AF220" s="273"/>
      <c r="AG220" s="273"/>
      <c r="AH220" s="273"/>
      <c r="AI220" s="273"/>
      <c r="AJ220" s="273"/>
      <c r="AK220" s="273"/>
      <c r="AL220" s="94"/>
      <c r="AM220" s="94"/>
      <c r="AN220" s="94"/>
      <c r="AO220" s="94"/>
      <c r="AP220" s="94"/>
      <c r="AQ220" s="94"/>
    </row>
    <row r="221" spans="5:43" s="70" customFormat="1" x14ac:dyDescent="0.25">
      <c r="E221" t="s">
        <v>867</v>
      </c>
      <c r="F221" t="s">
        <v>411</v>
      </c>
      <c r="G221"/>
      <c r="H221">
        <f>iq_batchBegins</f>
        <v>0</v>
      </c>
      <c r="I221"/>
      <c r="X221" s="94"/>
      <c r="Y221" s="94"/>
      <c r="Z221" s="94"/>
      <c r="AA221" s="94"/>
      <c r="AB221" s="94"/>
      <c r="AC221" s="94"/>
      <c r="AD221" s="94"/>
      <c r="AE221" s="94"/>
      <c r="AF221" s="94"/>
      <c r="AG221" s="94"/>
      <c r="AH221" s="94"/>
      <c r="AI221" s="94"/>
      <c r="AJ221" s="94"/>
      <c r="AK221" s="94"/>
      <c r="AL221" s="94"/>
      <c r="AM221" s="94"/>
      <c r="AN221" s="94"/>
      <c r="AO221" s="94"/>
      <c r="AP221" s="94"/>
      <c r="AQ221" s="94"/>
    </row>
    <row r="222" spans="5:43" x14ac:dyDescent="0.25">
      <c r="E222" t="s">
        <v>867</v>
      </c>
      <c r="F222" t="s">
        <v>412</v>
      </c>
      <c r="G222"/>
      <c r="H222">
        <f>iq_batchEnd</f>
        <v>0</v>
      </c>
      <c r="I222"/>
      <c r="X222" s="94"/>
      <c r="Y222" s="94"/>
      <c r="Z222" s="94"/>
      <c r="AA222" s="94"/>
      <c r="AB222" s="94"/>
      <c r="AC222" s="94"/>
      <c r="AD222" s="94"/>
      <c r="AE222" s="94"/>
      <c r="AF222" s="94"/>
      <c r="AG222" s="94"/>
      <c r="AH222" s="94"/>
      <c r="AI222" s="94"/>
      <c r="AJ222" s="94"/>
      <c r="AK222" s="94"/>
      <c r="AL222" s="94"/>
      <c r="AM222" s="94"/>
      <c r="AN222" s="94"/>
      <c r="AO222" s="94"/>
      <c r="AP222" s="94"/>
      <c r="AQ222" s="94"/>
    </row>
    <row r="223" spans="5:43" x14ac:dyDescent="0.25">
      <c r="E223" t="s">
        <v>867</v>
      </c>
      <c r="F223" t="s">
        <v>413</v>
      </c>
      <c r="G223"/>
      <c r="H223">
        <f>lohcProd_quantityProduced_tonnes*1000</f>
        <v>0</v>
      </c>
      <c r="I223" t="e">
        <f>"kg " &amp; VLOOKUP(lohcProd_pathway,Primary_Product_Table[],2,FALSE)</f>
        <v>#N/A</v>
      </c>
      <c r="X223" s="94"/>
      <c r="Y223" s="94"/>
      <c r="Z223" s="94"/>
      <c r="AA223" s="94"/>
      <c r="AB223" s="94"/>
      <c r="AC223" s="94"/>
      <c r="AD223" s="94"/>
      <c r="AE223" s="94"/>
      <c r="AF223" s="94"/>
      <c r="AG223" s="94"/>
      <c r="AH223" s="94"/>
      <c r="AI223" s="94"/>
      <c r="AJ223" s="94"/>
      <c r="AK223" s="94"/>
      <c r="AL223" s="94"/>
      <c r="AM223" s="94"/>
      <c r="AN223" s="94"/>
      <c r="AO223" s="94"/>
      <c r="AP223" s="94"/>
      <c r="AQ223" s="94"/>
    </row>
    <row r="224" spans="5:43" x14ac:dyDescent="0.25">
      <c r="E224" t="s">
        <v>867</v>
      </c>
      <c r="F224" t="s">
        <v>414</v>
      </c>
      <c r="G224"/>
      <c r="H224" cm="1">
        <f t="array" aca="1" ref="H224" ca="1">overall_totalImportedElectricity*VLOOKUP(_xlfn.TEXTAFTER(CELL("filename",$A$1),"]"),ElectricityPortionsByPathwayTable[],2,FALSE)</f>
        <v>0</v>
      </c>
      <c r="I224" t="s">
        <v>415</v>
      </c>
      <c r="X224" s="94"/>
      <c r="Y224" s="94"/>
      <c r="Z224" s="94"/>
      <c r="AA224" s="94"/>
      <c r="AB224" s="94"/>
      <c r="AC224" s="94"/>
      <c r="AD224" s="94"/>
      <c r="AE224" s="94"/>
      <c r="AF224" s="94"/>
      <c r="AG224" s="94"/>
      <c r="AH224" s="94"/>
      <c r="AI224" s="94"/>
      <c r="AJ224" s="94"/>
      <c r="AK224" s="94"/>
      <c r="AL224" s="94"/>
      <c r="AM224" s="94"/>
      <c r="AN224" s="94"/>
      <c r="AO224" s="94"/>
      <c r="AP224" s="94"/>
      <c r="AQ224" s="94"/>
    </row>
    <row r="225" spans="3:43" ht="15" customHeight="1" x14ac:dyDescent="0.25">
      <c r="E225" t="s">
        <v>867</v>
      </c>
      <c r="F225" t="s">
        <v>416</v>
      </c>
      <c r="G225"/>
      <c r="H225" t="e">
        <f>overall_LocationEF</f>
        <v>#N/A</v>
      </c>
      <c r="I225" t="s">
        <v>569</v>
      </c>
      <c r="X225" s="94"/>
      <c r="Y225" s="94"/>
      <c r="Z225" s="94"/>
      <c r="AA225" s="94"/>
      <c r="AB225" s="94"/>
      <c r="AC225" s="94"/>
      <c r="AD225" s="94"/>
      <c r="AE225" s="94"/>
      <c r="AF225" s="94"/>
      <c r="AG225" s="94"/>
      <c r="AH225" s="94"/>
      <c r="AI225" s="94"/>
      <c r="AJ225" s="94"/>
      <c r="AK225" s="94"/>
      <c r="AL225" s="94"/>
      <c r="AM225" s="94"/>
      <c r="AN225" s="94"/>
      <c r="AO225" s="94"/>
      <c r="AP225" s="94"/>
      <c r="AQ225" s="94"/>
    </row>
    <row r="226" spans="3:43" ht="15" customHeight="1" x14ac:dyDescent="0.25">
      <c r="E226" t="s">
        <v>867</v>
      </c>
      <c r="F226" t="s">
        <v>414</v>
      </c>
      <c r="G226"/>
      <c r="H226" cm="1">
        <f t="array" aca="1" ref="H226" ca="1">overall_totalImportedElectricity*VLOOKUP(_xlfn.TEXTAFTER(CELL("filename",$A$1),"]"),ElectricityPortionsByPathwayTable[],2,FALSE)</f>
        <v>0</v>
      </c>
      <c r="I226" t="s">
        <v>415</v>
      </c>
      <c r="X226" s="94"/>
      <c r="Y226" s="94"/>
      <c r="Z226" s="94"/>
      <c r="AA226" s="94"/>
      <c r="AB226" s="94"/>
      <c r="AC226" s="94"/>
      <c r="AD226" s="94"/>
      <c r="AE226" s="94"/>
      <c r="AF226" s="94"/>
      <c r="AG226" s="94"/>
      <c r="AH226" s="94"/>
      <c r="AI226" s="94"/>
      <c r="AJ226" s="94"/>
      <c r="AK226" s="94"/>
      <c r="AL226" s="94"/>
      <c r="AM226" s="94"/>
      <c r="AN226" s="94"/>
      <c r="AO226" s="94"/>
      <c r="AP226" s="94"/>
      <c r="AQ226" s="94"/>
    </row>
    <row r="227" spans="3:43" x14ac:dyDescent="0.25">
      <c r="E227" t="s">
        <v>867</v>
      </c>
      <c r="F227" t="s">
        <v>98</v>
      </c>
      <c r="G227"/>
      <c r="H227" cm="1">
        <f t="array" aca="1" ref="H227" ca="1">'Electricity Usage'!$S22*VLOOKUP(_xlfn.TEXTAFTER(CELL("filename",$A$1),"]"),ElectricityPortionsByPathwayTable[],2,FALSE)</f>
        <v>0</v>
      </c>
      <c r="I227" t="s">
        <v>415</v>
      </c>
      <c r="X227" s="94"/>
      <c r="Y227" s="94"/>
      <c r="Z227" s="94"/>
      <c r="AA227" s="94"/>
      <c r="AB227" s="94"/>
      <c r="AC227" s="94"/>
      <c r="AD227" s="94"/>
      <c r="AE227" s="94"/>
      <c r="AF227" s="94"/>
      <c r="AG227" s="94"/>
      <c r="AH227" s="94"/>
      <c r="AI227" s="94"/>
      <c r="AJ227" s="94"/>
      <c r="AK227" s="94"/>
      <c r="AL227" s="94"/>
      <c r="AM227" s="94"/>
      <c r="AN227" s="94"/>
      <c r="AO227" s="94"/>
      <c r="AP227" s="94"/>
      <c r="AQ227" s="94"/>
    </row>
    <row r="228" spans="3:43" x14ac:dyDescent="0.25">
      <c r="E228" t="s">
        <v>867</v>
      </c>
      <c r="F228" t="s">
        <v>99</v>
      </c>
      <c r="G228"/>
      <c r="H228" cm="1">
        <f t="array" aca="1" ref="H228" ca="1">'Electricity Usage'!$S23*VLOOKUP(_xlfn.TEXTAFTER(CELL("filename",$A$1),"]"),ElectricityPortionsByPathwayTable[],2,FALSE)</f>
        <v>0</v>
      </c>
      <c r="I228" t="s">
        <v>415</v>
      </c>
      <c r="X228" s="94"/>
      <c r="Y228" s="1883"/>
      <c r="Z228" s="1883"/>
      <c r="AA228" s="94"/>
      <c r="AB228" s="82"/>
      <c r="AC228" s="64"/>
      <c r="AD228" s="94"/>
      <c r="AE228" s="94"/>
      <c r="AF228" s="94"/>
      <c r="AG228" s="94"/>
      <c r="AH228" s="94"/>
      <c r="AI228" s="94"/>
      <c r="AJ228" s="94"/>
      <c r="AK228" s="94"/>
      <c r="AL228" s="94"/>
      <c r="AM228" s="94"/>
      <c r="AN228" s="94"/>
      <c r="AO228" s="94"/>
      <c r="AP228" s="94"/>
      <c r="AQ228" s="94"/>
    </row>
    <row r="229" spans="3:43" x14ac:dyDescent="0.25">
      <c r="E229" t="s">
        <v>867</v>
      </c>
      <c r="F229" t="s">
        <v>100</v>
      </c>
      <c r="G229"/>
      <c r="H229" cm="1">
        <f t="array" aca="1" ref="H229" ca="1">'Electricity Usage'!$S24*VLOOKUP(_xlfn.TEXTAFTER(CELL("filename",$A$1),"]"),ElectricityPortionsByPathwayTable[],2,FALSE)</f>
        <v>0</v>
      </c>
      <c r="I229" t="s">
        <v>415</v>
      </c>
      <c r="X229" s="94"/>
      <c r="Y229" s="1883"/>
      <c r="Z229" s="1883"/>
      <c r="AA229" s="94"/>
      <c r="AB229" s="82"/>
      <c r="AC229" s="64"/>
      <c r="AD229" s="94"/>
      <c r="AE229" s="94"/>
      <c r="AF229" s="94"/>
      <c r="AG229" s="94"/>
      <c r="AH229" s="94"/>
      <c r="AI229" s="94"/>
      <c r="AJ229" s="94"/>
      <c r="AK229" s="94"/>
      <c r="AL229" s="94"/>
      <c r="AM229" s="94"/>
      <c r="AN229" s="94"/>
      <c r="AO229" s="94"/>
      <c r="AP229" s="94"/>
      <c r="AQ229" s="94"/>
    </row>
    <row r="230" spans="3:43" x14ac:dyDescent="0.25">
      <c r="E230" t="s">
        <v>867</v>
      </c>
      <c r="F230" t="s">
        <v>101</v>
      </c>
      <c r="G230"/>
      <c r="H230" cm="1">
        <f t="array" aca="1" ref="H230" ca="1">'Electricity Usage'!$S25*VLOOKUP(_xlfn.TEXTAFTER(CELL("filename",$A$1),"]"),ElectricityPortionsByPathwayTable[],2,FALSE)</f>
        <v>0</v>
      </c>
      <c r="I230" t="s">
        <v>415</v>
      </c>
      <c r="X230" s="94"/>
      <c r="Y230" s="94"/>
      <c r="Z230" s="94"/>
      <c r="AA230" s="94"/>
      <c r="AB230" s="94"/>
      <c r="AC230" s="94"/>
      <c r="AD230" s="94"/>
      <c r="AE230" s="94"/>
      <c r="AF230" s="94"/>
      <c r="AG230" s="94"/>
      <c r="AH230" s="94"/>
      <c r="AI230" s="94"/>
      <c r="AJ230" s="94"/>
      <c r="AK230" s="94"/>
      <c r="AL230" s="94"/>
      <c r="AM230" s="94"/>
      <c r="AN230" s="94"/>
      <c r="AO230" s="94"/>
      <c r="AP230" s="94"/>
      <c r="AQ230" s="94"/>
    </row>
    <row r="231" spans="3:43" s="70" customFormat="1" x14ac:dyDescent="0.25">
      <c r="E231" t="s">
        <v>867</v>
      </c>
      <c r="F231" t="s">
        <v>418</v>
      </c>
      <c r="G231"/>
      <c r="H231" cm="1">
        <f t="array" aca="1" ref="H231" ca="1">overall_residualElectricity*VLOOKUP(_xlfn.TEXTAFTER(CELL("filename",A29),"]"),ElectricityPortionsByPathwayTable[],2,FALSE)</f>
        <v>0</v>
      </c>
      <c r="I231" t="s">
        <v>415</v>
      </c>
      <c r="X231" s="94"/>
      <c r="Y231" s="94"/>
      <c r="Z231" s="94"/>
      <c r="AA231" s="94"/>
      <c r="AB231" s="94"/>
      <c r="AC231" s="94"/>
      <c r="AD231" s="94"/>
      <c r="AE231" s="94"/>
      <c r="AF231" s="94"/>
      <c r="AG231" s="94"/>
      <c r="AH231" s="94"/>
      <c r="AI231" s="94"/>
      <c r="AJ231" s="94"/>
      <c r="AK231" s="94"/>
      <c r="AL231" s="94"/>
      <c r="AM231" s="94"/>
      <c r="AN231" s="94"/>
      <c r="AO231" s="94"/>
      <c r="AP231" s="94"/>
      <c r="AQ231" s="94"/>
    </row>
    <row r="232" spans="3:43" x14ac:dyDescent="0.25">
      <c r="E232" t="s">
        <v>867</v>
      </c>
      <c r="F232" t="s">
        <v>419</v>
      </c>
      <c r="G232"/>
      <c r="H232">
        <f>overall_MarketEF</f>
        <v>0.95499999999999996</v>
      </c>
      <c r="I232" t="s">
        <v>824</v>
      </c>
      <c r="Y232" s="70"/>
      <c r="Z232" s="70"/>
      <c r="AA232" s="70"/>
      <c r="AB232" s="70"/>
      <c r="AC232" s="70"/>
      <c r="AD232" s="70"/>
      <c r="AE232" s="70"/>
      <c r="AF232" s="70"/>
      <c r="AG232" s="70"/>
      <c r="AH232" s="70"/>
      <c r="AI232" s="70"/>
      <c r="AJ232" s="70"/>
      <c r="AK232" s="70"/>
      <c r="AL232" s="70"/>
      <c r="AM232" s="70"/>
      <c r="AN232" s="70"/>
      <c r="AO232" s="70"/>
      <c r="AP232" s="70"/>
      <c r="AQ232" s="70"/>
    </row>
    <row r="233" spans="3:43" x14ac:dyDescent="0.25">
      <c r="E233" t="s">
        <v>867</v>
      </c>
      <c r="F233" t="s">
        <v>420</v>
      </c>
      <c r="G233"/>
      <c r="H233" cm="1">
        <f t="array" aca="1" ref="H233" ca="1">overall_totalOnsiteElecGen*VLOOKUP(_xlfn.TEXTAFTER(CELL("filename",$A$1),"]"),ElectricityPortionsByPathwayTable[],2,FALSE)</f>
        <v>0</v>
      </c>
      <c r="I233" t="s">
        <v>415</v>
      </c>
    </row>
    <row r="234" spans="3:43" x14ac:dyDescent="0.25">
      <c r="E234" t="s">
        <v>867</v>
      </c>
      <c r="F234" t="s">
        <v>421</v>
      </c>
      <c r="G234"/>
      <c r="H234" t="e">
        <f>overall_onsiteGenEF</f>
        <v>#DIV/0!</v>
      </c>
      <c r="I234" t="s">
        <v>825</v>
      </c>
    </row>
    <row r="235" spans="3:43" x14ac:dyDescent="0.25">
      <c r="C235"/>
      <c r="D235"/>
      <c r="E235" t="s">
        <v>867</v>
      </c>
      <c r="F235" t="s">
        <v>434</v>
      </c>
      <c r="G235">
        <f>'Electricity Usage'!$E$51</f>
        <v>0</v>
      </c>
      <c r="H235" t="str" cm="1">
        <f t="array" aca="1" ref="H235" ca="1">IF(_xlfn.ANCHORARRAY(G235)&lt;&gt;0,overall_CHPFuelElecAllocation*VLOOKUP(_xlfn.TEXTAFTER(CELL("filename",$A$1),"]"),ElectricityPortionsByPathwayTable[],3,FALSE) + overall_CHPFuelSteamAllocation *VLOOKUP(_xlfn.TEXTAFTER(CELL("filename",$A$1),"]"),ElectricityPortionsByPathwayTable[],4,FALSE),"")</f>
        <v/>
      </c>
      <c r="I235" t="str" cm="1">
        <f t="array" ref="I235">IF(_xlfn.ANCHORARRAY(G235)&lt;&gt;0,('Electricity Usage'!$S$51)*'Electricity Usage'!$T$51/1000,"")</f>
        <v/>
      </c>
    </row>
    <row r="236" spans="3:43" x14ac:dyDescent="0.25">
      <c r="E236" t="s">
        <v>867</v>
      </c>
      <c r="F236" t="s">
        <v>435</v>
      </c>
      <c r="G236">
        <f>'Electricity Usage'!$E$38</f>
        <v>0</v>
      </c>
      <c r="H236" t="str" cm="1">
        <f t="array" aca="1" ref="H236" ca="1">IF(_xlfn.ANCHORARRAY(G236)&lt;&gt;0,overall_otherOnsiteElecGenViaCombustionFuelAmount*VLOOKUP(_xlfn.TEXTAFTER(CELL("filename",$A$1),"]"),ElectricityPortionsByPathwayTable[],3,FALSE),"")</f>
        <v/>
      </c>
      <c r="I236" t="str" cm="1">
        <f t="array" ref="I236">IF(_xlfn.ANCHORARRAY(G236)&lt;&gt;0,('Electricity Usage'!$S$38)*'Electricity Usage'!$T$38/1000,"")</f>
        <v/>
      </c>
    </row>
    <row r="237" spans="3:43" x14ac:dyDescent="0.25">
      <c r="E237" t="s">
        <v>867</v>
      </c>
      <c r="F237" t="s">
        <v>436</v>
      </c>
      <c r="G237">
        <f>F96</f>
        <v>0</v>
      </c>
      <c r="H237" s="227" t="e">
        <f>AB96*1000</f>
        <v>#N/A</v>
      </c>
      <c r="I237" t="e">
        <f>Y96*Z96/1000</f>
        <v>#VALUE!</v>
      </c>
      <c r="Z237" s="92"/>
      <c r="AA237" s="92"/>
    </row>
    <row r="238" spans="3:43" x14ac:dyDescent="0.25">
      <c r="E238" t="s">
        <v>867</v>
      </c>
      <c r="F238" t="s">
        <v>437</v>
      </c>
      <c r="G238">
        <f>F97</f>
        <v>0</v>
      </c>
      <c r="H238" s="227" t="e">
        <f>AB97*1000</f>
        <v>#N/A</v>
      </c>
      <c r="I238" t="e">
        <f>Y97*Z97/1000</f>
        <v>#VALUE!</v>
      </c>
      <c r="Y238" s="70"/>
      <c r="Z238" s="70"/>
      <c r="AA238" s="70"/>
      <c r="AB238" s="70"/>
      <c r="AC238" s="70"/>
      <c r="AD238" s="70"/>
      <c r="AE238" s="70"/>
      <c r="AF238" s="70"/>
      <c r="AG238" s="70"/>
      <c r="AH238" s="70"/>
      <c r="AI238" s="70"/>
      <c r="AJ238" s="70"/>
      <c r="AK238" s="70"/>
      <c r="AL238" s="70"/>
      <c r="AM238" s="70"/>
      <c r="AN238" s="70"/>
      <c r="AO238" s="70"/>
      <c r="AP238" s="70"/>
      <c r="AQ238" s="70"/>
    </row>
    <row r="239" spans="3:43" x14ac:dyDescent="0.25">
      <c r="E239" t="s">
        <v>867</v>
      </c>
      <c r="F239" t="s">
        <v>438</v>
      </c>
      <c r="G239">
        <f>F98</f>
        <v>0</v>
      </c>
      <c r="H239" s="227" t="e">
        <f>AB98*1000</f>
        <v>#N/A</v>
      </c>
      <c r="I239" t="e">
        <f>Y98*Z98/1000</f>
        <v>#VALUE!</v>
      </c>
    </row>
    <row r="240" spans="3:43" x14ac:dyDescent="0.25">
      <c r="E240" t="s">
        <v>867</v>
      </c>
      <c r="F240" t="s">
        <v>439</v>
      </c>
      <c r="G240">
        <f>F99</f>
        <v>0</v>
      </c>
      <c r="H240" s="227" t="e">
        <f>AB99*1000</f>
        <v>#N/A</v>
      </c>
      <c r="I240" t="e">
        <f>Y99*Z99/1000</f>
        <v>#VALUE!</v>
      </c>
    </row>
    <row r="241" spans="5:43" x14ac:dyDescent="0.25">
      <c r="E241" t="s">
        <v>867</v>
      </c>
      <c r="F241" t="s">
        <v>440</v>
      </c>
      <c r="G241">
        <f>F100</f>
        <v>0</v>
      </c>
      <c r="H241" s="227" t="e">
        <f>AB100*1000</f>
        <v>#N/A</v>
      </c>
      <c r="I241" t="e">
        <f>Y100*Z100/1000</f>
        <v>#VALUE!</v>
      </c>
      <c r="Y241" s="92"/>
    </row>
    <row r="242" spans="5:43" x14ac:dyDescent="0.25">
      <c r="E242" t="s">
        <v>867</v>
      </c>
      <c r="F242" t="s">
        <v>826</v>
      </c>
      <c r="G242"/>
      <c r="H242" t="e">
        <f>AA15*1000</f>
        <v>#N/A</v>
      </c>
      <c r="I242" t="s">
        <v>827</v>
      </c>
      <c r="Y242" s="1876"/>
      <c r="Z242" s="1876"/>
      <c r="AB242" s="92"/>
    </row>
    <row r="243" spans="5:43" s="70" customFormat="1" x14ac:dyDescent="0.25">
      <c r="E243" t="s">
        <v>867</v>
      </c>
      <c r="F243" t="s">
        <v>461</v>
      </c>
      <c r="G243"/>
      <c r="H243">
        <f>SUMIF(AA137:AA139,"&gt;0") +SUMIF(Y61,"&gt;0")</f>
        <v>0</v>
      </c>
      <c r="I243" t="s">
        <v>90</v>
      </c>
      <c r="Y243" s="1876"/>
      <c r="Z243" s="1876"/>
      <c r="AA243" s="43"/>
      <c r="AB243" s="43"/>
      <c r="AC243" s="43"/>
      <c r="AD243" s="43"/>
      <c r="AE243" s="43"/>
      <c r="AF243" s="43"/>
      <c r="AG243" s="43"/>
      <c r="AH243" s="43"/>
      <c r="AI243" s="43"/>
      <c r="AJ243" s="43"/>
      <c r="AK243" s="43"/>
      <c r="AL243" s="43"/>
      <c r="AM243" s="43"/>
      <c r="AN243" s="43"/>
      <c r="AO243" s="43"/>
      <c r="AP243" s="43"/>
      <c r="AQ243" s="43"/>
    </row>
    <row r="244" spans="5:43" x14ac:dyDescent="0.25">
      <c r="E244" t="s">
        <v>867</v>
      </c>
      <c r="F244" t="s">
        <v>462</v>
      </c>
      <c r="G244"/>
      <c r="H244">
        <f>SUMIF(Z137:Z139,"&gt;0")</f>
        <v>0</v>
      </c>
      <c r="I244" t="s">
        <v>90</v>
      </c>
    </row>
    <row r="245" spans="5:43" x14ac:dyDescent="0.25">
      <c r="E245" t="s">
        <v>867</v>
      </c>
      <c r="F245" t="s">
        <v>463</v>
      </c>
      <c r="G245"/>
      <c r="H245">
        <f>Y130</f>
        <v>0</v>
      </c>
      <c r="I245" t="s">
        <v>415</v>
      </c>
    </row>
    <row r="246" spans="5:43" x14ac:dyDescent="0.25">
      <c r="E246" t="s">
        <v>867</v>
      </c>
      <c r="F246" t="s">
        <v>828</v>
      </c>
      <c r="G246"/>
      <c r="H246">
        <f>O130</f>
        <v>0</v>
      </c>
      <c r="I246" t="s">
        <v>730</v>
      </c>
    </row>
    <row r="247" spans="5:43" x14ac:dyDescent="0.25">
      <c r="E247" t="s">
        <v>867</v>
      </c>
      <c r="F247" t="s">
        <v>829</v>
      </c>
      <c r="G247"/>
      <c r="H247">
        <f>O146</f>
        <v>0</v>
      </c>
      <c r="I247" t="s">
        <v>730</v>
      </c>
    </row>
    <row r="248" spans="5:43" x14ac:dyDescent="0.25">
      <c r="E248" t="s">
        <v>867</v>
      </c>
      <c r="F248" t="s">
        <v>469</v>
      </c>
      <c r="G248"/>
      <c r="H248">
        <f>AB146</f>
        <v>0</v>
      </c>
      <c r="I248" t="s">
        <v>90</v>
      </c>
    </row>
    <row r="249" spans="5:43" s="70" customFormat="1" x14ac:dyDescent="0.25">
      <c r="E249" t="s">
        <v>867</v>
      </c>
      <c r="F249" t="s">
        <v>474</v>
      </c>
      <c r="G249"/>
      <c r="H249">
        <f>Y146</f>
        <v>0</v>
      </c>
      <c r="I249" t="s">
        <v>90</v>
      </c>
      <c r="Y249" s="43"/>
      <c r="Z249" s="43"/>
      <c r="AA249" s="43"/>
      <c r="AB249" s="43"/>
      <c r="AC249" s="43"/>
      <c r="AD249" s="43"/>
      <c r="AE249" s="43"/>
      <c r="AF249" s="43"/>
      <c r="AG249" s="43"/>
      <c r="AH249" s="43"/>
      <c r="AI249" s="43"/>
      <c r="AJ249" s="43"/>
      <c r="AK249" s="43"/>
      <c r="AL249" s="43"/>
      <c r="AM249" s="43"/>
      <c r="AN249" s="43"/>
      <c r="AO249" s="43"/>
      <c r="AP249" s="43"/>
      <c r="AQ249" s="43"/>
    </row>
    <row r="250" spans="5:43" x14ac:dyDescent="0.25">
      <c r="E250" t="s">
        <v>867</v>
      </c>
      <c r="F250" t="s">
        <v>830</v>
      </c>
      <c r="G250"/>
      <c r="H250">
        <f>O146</f>
        <v>0</v>
      </c>
      <c r="I250" t="s">
        <v>730</v>
      </c>
    </row>
    <row r="251" spans="5:43" x14ac:dyDescent="0.25">
      <c r="E251" t="s">
        <v>867</v>
      </c>
      <c r="F251" t="s">
        <v>831</v>
      </c>
      <c r="G251"/>
      <c r="H251" t="s">
        <v>369</v>
      </c>
      <c r="I251" t="s">
        <v>90</v>
      </c>
    </row>
    <row r="252" spans="5:43" x14ac:dyDescent="0.25">
      <c r="E252" t="s">
        <v>867</v>
      </c>
      <c r="F252" t="s">
        <v>832</v>
      </c>
      <c r="G252"/>
      <c r="H252" t="s">
        <v>369</v>
      </c>
      <c r="I252" t="s">
        <v>90</v>
      </c>
    </row>
    <row r="253" spans="5:43" x14ac:dyDescent="0.25">
      <c r="E253" t="s">
        <v>867</v>
      </c>
      <c r="F253" t="s">
        <v>833</v>
      </c>
      <c r="G253"/>
      <c r="H253" t="s">
        <v>369</v>
      </c>
      <c r="I253" t="s">
        <v>730</v>
      </c>
    </row>
    <row r="254" spans="5:43" x14ac:dyDescent="0.25">
      <c r="E254" t="s">
        <v>867</v>
      </c>
      <c r="F254" t="s">
        <v>407</v>
      </c>
      <c r="G254"/>
      <c r="H254"/>
      <c r="I254">
        <f>AA153</f>
        <v>0</v>
      </c>
    </row>
    <row r="255" spans="5:43" x14ac:dyDescent="0.25">
      <c r="E255" t="s">
        <v>867</v>
      </c>
      <c r="F255" t="s">
        <v>834</v>
      </c>
      <c r="G255"/>
      <c r="H255"/>
      <c r="I255">
        <f>Y153</f>
        <v>0</v>
      </c>
    </row>
    <row r="256" spans="5:43" x14ac:dyDescent="0.25">
      <c r="E256" t="s">
        <v>867</v>
      </c>
      <c r="F256" t="s">
        <v>835</v>
      </c>
      <c r="G256"/>
      <c r="H256"/>
      <c r="I256" t="str">
        <f>O153</f>
        <v>Error -  Review inputs</v>
      </c>
    </row>
    <row r="257" spans="5:9" x14ac:dyDescent="0.25">
      <c r="E257" t="s">
        <v>867</v>
      </c>
      <c r="F257" t="s">
        <v>862</v>
      </c>
      <c r="G257" t="str">
        <f>E88</f>
        <v>DBT</v>
      </c>
      <c r="H257" t="e">
        <f>Z88</f>
        <v>#N/A</v>
      </c>
      <c r="I257">
        <f>Y88</f>
        <v>0</v>
      </c>
    </row>
    <row r="258" spans="5:9" x14ac:dyDescent="0.25">
      <c r="E258" t="s">
        <v>867</v>
      </c>
      <c r="F258" t="s">
        <v>836</v>
      </c>
      <c r="G258" t="str">
        <f>E89</f>
        <v>DBT</v>
      </c>
      <c r="H258" t="e">
        <f>Z89</f>
        <v>#N/A</v>
      </c>
      <c r="I258">
        <f>Y89</f>
        <v>3.7961</v>
      </c>
    </row>
    <row r="259" spans="5:9" x14ac:dyDescent="0.25">
      <c r="E259" t="s">
        <v>867</v>
      </c>
      <c r="F259" t="s">
        <v>868</v>
      </c>
      <c r="G259"/>
      <c r="H259" t="e">
        <f>SUM(H257:H258)</f>
        <v>#N/A</v>
      </c>
      <c r="I259"/>
    </row>
    <row r="260" spans="5:9" x14ac:dyDescent="0.25">
      <c r="E260" t="s">
        <v>867</v>
      </c>
      <c r="F260" t="s">
        <v>423</v>
      </c>
      <c r="G260">
        <f>E34</f>
        <v>0</v>
      </c>
      <c r="H260" t="e">
        <f>AB34</f>
        <v>#N/A</v>
      </c>
      <c r="I260" t="e">
        <f>O34/AB34</f>
        <v>#N/A</v>
      </c>
    </row>
    <row r="261" spans="5:9" x14ac:dyDescent="0.25">
      <c r="E261" t="s">
        <v>867</v>
      </c>
      <c r="F261" t="s">
        <v>424</v>
      </c>
      <c r="G261">
        <f>E35</f>
        <v>0</v>
      </c>
      <c r="H261" t="e">
        <f>AB35</f>
        <v>#N/A</v>
      </c>
      <c r="I261" t="e">
        <f>O35/AB35</f>
        <v>#N/A</v>
      </c>
    </row>
    <row r="262" spans="5:9" x14ac:dyDescent="0.25">
      <c r="E262" t="s">
        <v>867</v>
      </c>
      <c r="F262" t="s">
        <v>425</v>
      </c>
      <c r="G262">
        <f>E36</f>
        <v>0</v>
      </c>
      <c r="H262" t="e">
        <f>AB36</f>
        <v>#N/A</v>
      </c>
      <c r="I262" t="e">
        <f>O36/AB36</f>
        <v>#N/A</v>
      </c>
    </row>
    <row r="263" spans="5:9" x14ac:dyDescent="0.25">
      <c r="E263" t="s">
        <v>867</v>
      </c>
      <c r="F263" t="s">
        <v>426</v>
      </c>
      <c r="G263">
        <f>E43</f>
        <v>0</v>
      </c>
      <c r="H263" t="e">
        <f>(AB43*VLOOKUP("m3",Table13[],2,FALSE))</f>
        <v>#N/A</v>
      </c>
      <c r="I263" t="e">
        <f>O43/(AB43*VLOOKUP("m3",Table13[],2,FALSE))</f>
        <v>#N/A</v>
      </c>
    </row>
    <row r="264" spans="5:9" x14ac:dyDescent="0.25">
      <c r="E264" t="s">
        <v>867</v>
      </c>
      <c r="F264" t="s">
        <v>428</v>
      </c>
      <c r="G264">
        <f>E69</f>
        <v>0</v>
      </c>
      <c r="H264" t="e">
        <f>Y69</f>
        <v>#N/A</v>
      </c>
      <c r="I264" t="e">
        <f>AD69</f>
        <v>#N/A</v>
      </c>
    </row>
    <row r="265" spans="5:9" x14ac:dyDescent="0.25">
      <c r="E265" t="s">
        <v>867</v>
      </c>
      <c r="F265" t="s">
        <v>429</v>
      </c>
      <c r="G265">
        <f>E70</f>
        <v>0</v>
      </c>
      <c r="H265" t="e">
        <f>Y70</f>
        <v>#N/A</v>
      </c>
      <c r="I265" t="e">
        <f>AD70</f>
        <v>#N/A</v>
      </c>
    </row>
    <row r="266" spans="5:9" x14ac:dyDescent="0.25">
      <c r="E266" t="s">
        <v>867</v>
      </c>
      <c r="F266" t="s">
        <v>430</v>
      </c>
      <c r="G266">
        <f>E71</f>
        <v>0</v>
      </c>
      <c r="H266" t="e">
        <f>Y71</f>
        <v>#N/A</v>
      </c>
      <c r="I266" t="e">
        <f>AD71</f>
        <v>#N/A</v>
      </c>
    </row>
    <row r="267" spans="5:9" x14ac:dyDescent="0.25">
      <c r="E267" t="s">
        <v>867</v>
      </c>
      <c r="F267" t="s">
        <v>431</v>
      </c>
      <c r="G267"/>
      <c r="H267" t="e">
        <f>Z137</f>
        <v>#N/A</v>
      </c>
      <c r="I267" t="e">
        <f>Y137</f>
        <v>#N/A</v>
      </c>
    </row>
    <row r="268" spans="5:9" x14ac:dyDescent="0.25">
      <c r="E268" t="s">
        <v>867</v>
      </c>
      <c r="F268" t="s">
        <v>432</v>
      </c>
      <c r="G268"/>
      <c r="H268" t="e">
        <f>Z138</f>
        <v>#N/A</v>
      </c>
      <c r="I268" t="e">
        <f>Y138</f>
        <v>#N/A</v>
      </c>
    </row>
    <row r="269" spans="5:9" x14ac:dyDescent="0.25">
      <c r="E269" t="s">
        <v>867</v>
      </c>
      <c r="F269" t="s">
        <v>433</v>
      </c>
      <c r="G269"/>
      <c r="H269" t="e">
        <f>Z139</f>
        <v>#N/A</v>
      </c>
      <c r="I269" t="e">
        <f>Y139</f>
        <v>#N/A</v>
      </c>
    </row>
    <row r="272" spans="5:9" x14ac:dyDescent="0.25">
      <c r="E272" s="282" t="s">
        <v>479</v>
      </c>
      <c r="F272" s="282" t="s">
        <v>575</v>
      </c>
      <c r="G272" s="282" t="s">
        <v>481</v>
      </c>
      <c r="H272" s="282" t="s">
        <v>482</v>
      </c>
      <c r="I272" s="282" t="s">
        <v>483</v>
      </c>
    </row>
    <row r="273" spans="5:9" x14ac:dyDescent="0.25">
      <c r="E273" t="str">
        <f>'Hidden Lists and Summaries'!$B$5</f>
        <v>Embodied (Upstream)</v>
      </c>
      <c r="F273" t="s">
        <v>837</v>
      </c>
      <c r="G273" t="e">
        <f t="shared" ref="G273:G283" si="9">H273/lohcProd_quantityProduced_tonnes</f>
        <v>#DIV/0!</v>
      </c>
      <c r="H273" s="227">
        <f>SUMIFS($AH$36:$AH$124,$AL$36:$AL$124,F273)+SUMIFS($AI$36:$AI$124,$AM$36:$AM$124,F273) + IF(lohcProd_integratedFacility="No",AB15,0)</f>
        <v>0</v>
      </c>
      <c r="I273" t="s">
        <v>484</v>
      </c>
    </row>
    <row r="274" spans="5:9" x14ac:dyDescent="0.25">
      <c r="E274" t="str">
        <f>'Hidden Lists and Summaries'!$B$5</f>
        <v>Embodied (Upstream)</v>
      </c>
      <c r="F274" t="s">
        <v>214</v>
      </c>
      <c r="G274" t="e">
        <f t="shared" ca="1" si="9"/>
        <v>#DIV/0!</v>
      </c>
      <c r="H274" s="227">
        <f ca="1">SUMIFS($AH$36:$AH$124,$AL$36:$AL$124,F274)+SUMIFS($AI$36:$AI$124,$AM$36:$AM$124,F274) + IF(lohcProd_integratedFacility="Yes", VLOOKUP(LOHCHydrogenationEmissionsBreakdown[[#This Row],[Breakdown Sub category]],_xlfn.CHOOSECOLS(INDIRECT($K$179),2,4),2,FALSE), 0)</f>
        <v>0</v>
      </c>
      <c r="I274" t="s">
        <v>484</v>
      </c>
    </row>
    <row r="275" spans="5:9" x14ac:dyDescent="0.25">
      <c r="E275" t="str">
        <f>'Hidden Lists and Summaries'!$B$5</f>
        <v>Embodied (Upstream)</v>
      </c>
      <c r="F275" t="s">
        <v>243</v>
      </c>
      <c r="G275" t="e">
        <f t="shared" ca="1" si="9"/>
        <v>#DIV/0!</v>
      </c>
      <c r="H275" s="227">
        <f ca="1">SUMIFS($AH$36:$AH$124,$AL$36:$AL$124,F275)+SUMIFS($AI$36:$AI$124,$AM$36:$AM$124,F275) + IF(lohcProd_integratedFacility="Yes", VLOOKUP(LOHCHydrogenationEmissionsBreakdown[[#This Row],[Breakdown Sub category]],_xlfn.CHOOSECOLS(INDIRECT($K$179),2,4),2,FALSE), 0)</f>
        <v>0</v>
      </c>
      <c r="I275" t="s">
        <v>484</v>
      </c>
    </row>
    <row r="276" spans="5:9" x14ac:dyDescent="0.25">
      <c r="E276" t="str">
        <f>'Hidden Lists and Summaries'!$B$5</f>
        <v>Embodied (Upstream)</v>
      </c>
      <c r="F276" t="s">
        <v>286</v>
      </c>
      <c r="G276" t="e">
        <f t="shared" ca="1" si="9"/>
        <v>#DIV/0!</v>
      </c>
      <c r="H276" s="227">
        <f ca="1">SUMIFS($AH$36:$AH$124,$AL$36:$AL$124,F276)+SUMIFS($AI$36:$AI$124,$AM$36:$AM$124,F276) + IF(lohcProd_integratedFacility="Yes", VLOOKUP(LOHCHydrogenationEmissionsBreakdown[[#This Row],[Breakdown Sub category]],_xlfn.CHOOSECOLS(INDIRECT($K$179),2,4),2,FALSE), 0)</f>
        <v>0</v>
      </c>
      <c r="I276" t="s">
        <v>484</v>
      </c>
    </row>
    <row r="277" spans="5:9" x14ac:dyDescent="0.25">
      <c r="E277" t="str">
        <f>'Hidden Lists and Summaries'!$B$5</f>
        <v>Embodied (Upstream)</v>
      </c>
      <c r="F277" t="s">
        <v>486</v>
      </c>
      <c r="G277" t="e">
        <f t="shared" ca="1" si="9"/>
        <v>#DIV/0!</v>
      </c>
      <c r="H277" s="227">
        <f ca="1">SUMIFS($AH$36:$AH$124,$AL$36:$AL$124,F277)+SUMIFS($AI$36:$AI$124,$AM$36:$AM$124,F277) + IF(lohcProd_integratedFacility="Yes", VLOOKUP(LOHCHydrogenationEmissionsBreakdown[[#This Row],[Breakdown Sub category]],_xlfn.CHOOSECOLS(INDIRECT($K$179),2,4),2,FALSE), 0)</f>
        <v>0</v>
      </c>
      <c r="I277"/>
    </row>
    <row r="278" spans="5:9" x14ac:dyDescent="0.25">
      <c r="E278" t="str">
        <f>'Hidden Lists and Summaries'!B5</f>
        <v>Embodied (Upstream)</v>
      </c>
      <c r="F278" t="s">
        <v>863</v>
      </c>
      <c r="G278" t="e">
        <f t="shared" si="9"/>
        <v>#DIV/0!</v>
      </c>
      <c r="H278">
        <f>SUMIFS($AH$36:$AH$124,$AJ$36:$AJ$124,E278)+SUMIFS($AI$36:$AI$124,$AK$36:$AK$124,E278)</f>
        <v>0</v>
      </c>
      <c r="I278" t="s">
        <v>484</v>
      </c>
    </row>
    <row r="279" spans="5:9" x14ac:dyDescent="0.25">
      <c r="E279" t="str">
        <f>'Hidden Lists and Summaries'!B6</f>
        <v>Steam Supply</v>
      </c>
      <c r="F279"/>
      <c r="G279" t="e">
        <f t="shared" ca="1" si="9"/>
        <v>#DIV/0!</v>
      </c>
      <c r="H279" s="227">
        <f ca="1">SUMIFS($AH$36:$AH$124,$AJ$36:$AJ$124,E279)+SUMIFS($AI$36:$AI$124,$AK$36:$AK$124,E279) + IF(lohcProd_integratedFacility="Yes", VLOOKUP(LOHCHydrogenationEmissionsBreakdown[[#This Row],[Major category]],_xlfn.CHOOSECOLS(INDIRECT($K$179),1,4),2,FALSE), 0)</f>
        <v>0</v>
      </c>
      <c r="I279" t="s">
        <v>487</v>
      </c>
    </row>
    <row r="280" spans="5:9" x14ac:dyDescent="0.25">
      <c r="E280" t="str">
        <f>'Hidden Lists and Summaries'!B7</f>
        <v>Electricity Supply</v>
      </c>
      <c r="F280"/>
      <c r="G280" t="e">
        <f t="shared" ca="1" si="9"/>
        <v>#DIV/0!</v>
      </c>
      <c r="H280" s="227">
        <f ca="1">SUMIFS($AH$36:$AH$124,$AJ$36:$AJ$124,E280)+SUMIFS($AI$36:$AI$124,$AK$36:$AK$124,E280) + IF(lohcProd_integratedFacility="Yes", VLOOKUP(LOHCHydrogenationEmissionsBreakdown[[#This Row],[Major category]],_xlfn.CHOOSECOLS(INDIRECT($K$179),1,4),2,FALSE), 0)</f>
        <v>0</v>
      </c>
      <c r="I280" t="s">
        <v>487</v>
      </c>
    </row>
    <row r="281" spans="5:9" x14ac:dyDescent="0.25">
      <c r="E281" t="str">
        <f>'Hidden Lists and Summaries'!B8</f>
        <v>Fuel Combustion</v>
      </c>
      <c r="F281"/>
      <c r="G281" t="e">
        <f t="shared" ca="1" si="9"/>
        <v>#DIV/0!</v>
      </c>
      <c r="H281" s="227">
        <f ca="1">SUMIFS($AH$36:$AH$124,$AJ$36:$AJ$124,E281)+SUMIFS($AI$36:$AI$124,$AK$36:$AK$124,E281) + IF(lohcProd_integratedFacility="Yes", VLOOKUP(LOHCHydrogenationEmissionsBreakdown[[#This Row],[Major category]],_xlfn.CHOOSECOLS(INDIRECT($K$179),1,4),2,FALSE), 0)</f>
        <v>0</v>
      </c>
      <c r="I281" t="s">
        <v>487</v>
      </c>
    </row>
    <row r="282" spans="5:9" x14ac:dyDescent="0.25">
      <c r="E282" t="str">
        <f>'Hidden Lists and Summaries'!B9</f>
        <v>Industrial Process</v>
      </c>
      <c r="F282"/>
      <c r="G282" t="e">
        <f t="shared" ca="1" si="9"/>
        <v>#DIV/0!</v>
      </c>
      <c r="H282" s="227">
        <f ca="1">SUMIFS($AH$36:$AH$124,$AJ$36:$AJ$124,E282)+SUMIFS($AI$36:$AI$124,$AK$36:$AK$124,E282) + IF(lohcProd_integratedFacility="Yes", VLOOKUP(LOHCHydrogenationEmissionsBreakdown[[#This Row],[Major category]],_xlfn.CHOOSECOLS(INDIRECT($K$179),1,4),2,FALSE), 0)</f>
        <v>0</v>
      </c>
      <c r="I282" t="s">
        <v>487</v>
      </c>
    </row>
    <row r="283" spans="5:9" x14ac:dyDescent="0.25">
      <c r="E283" t="str">
        <f>'Hidden Lists and Summaries'!B10</f>
        <v>Accrued</v>
      </c>
      <c r="F283"/>
      <c r="G283" t="e">
        <f t="shared" ca="1" si="9"/>
        <v>#DIV/0!</v>
      </c>
      <c r="H283" s="227">
        <f ca="1">SUMIFS($AH$36:$AH$124,$AJ$36:$AJ$124,E283)+SUMIFS($AI$36:$AI$124,$AK$36:$AK$124,E283) + IF(lohcProd_integratedFacility="Yes", VLOOKUP(LOHCHydrogenationEmissionsBreakdown[[#This Row],[Major category]],_xlfn.CHOOSECOLS(INDIRECT($K$179),1,4),2,FALSE), 0)</f>
        <v>0</v>
      </c>
      <c r="I283" t="s">
        <v>487</v>
      </c>
    </row>
    <row r="284" spans="5:9" x14ac:dyDescent="0.25">
      <c r="E284" t="s">
        <v>488</v>
      </c>
      <c r="G284" t="e">
        <f t="shared" ref="G284:G294" ca="1" si="10">H284/lohcProd_quantityProduced_tonnes</f>
        <v>#DIV/0!</v>
      </c>
      <c r="H284">
        <f ca="1">IF(lohcProd_integratedFacility="Yes",SUMIF(INDIRECT($K$179&amp;"[Major category]"),LOHCHydrogenationEmissionsBreakdown[[#This Row],[Major category]],INDIRECT($K$179&amp;"[Emissions (kg CO2-e)]")),0) + IF(lohcProd_integratedFacility="Yes", VLOOKUP(LOHCHydrogenationEmissionsBreakdown[[#This Row],[Major category]],_xlfn.CHOOSECOLS(INDIRECT($K$179),1,4),2,FALSE), 0)</f>
        <v>0</v>
      </c>
      <c r="I284" t="s">
        <v>487</v>
      </c>
    </row>
    <row r="285" spans="5:9" x14ac:dyDescent="0.25">
      <c r="E285" t="s">
        <v>374</v>
      </c>
      <c r="G285" t="e">
        <f t="shared" ca="1" si="10"/>
        <v>#DIV/0!</v>
      </c>
      <c r="H285" s="227">
        <f ca="1">O131 + IF(lohcProd_integratedFacility="Yes", VLOOKUP(LOHCHydrogenationEmissionsBreakdown[[#This Row],[Major category]],_xlfn.CHOOSECOLS(INDIRECT($K$179),1,4),2,FALSE), 0)</f>
        <v>0</v>
      </c>
      <c r="I285" t="s">
        <v>489</v>
      </c>
    </row>
    <row r="286" spans="5:9" x14ac:dyDescent="0.25">
      <c r="E286" t="s">
        <v>375</v>
      </c>
      <c r="G286" t="e">
        <f t="shared" ca="1" si="10"/>
        <v>#DIV/0!</v>
      </c>
      <c r="H286" s="227">
        <f ca="1">O140 + IF(lohcProd_integratedFacility="Yes", VLOOKUP(LOHCHydrogenationEmissionsBreakdown[[#This Row],[Major category]],_xlfn.CHOOSECOLS(INDIRECT($K$179),1,4),2,FALSE), 0)</f>
        <v>0</v>
      </c>
      <c r="I286" t="s">
        <v>489</v>
      </c>
    </row>
    <row r="287" spans="5:9" x14ac:dyDescent="0.25">
      <c r="E287" t="s">
        <v>377</v>
      </c>
      <c r="G287" t="e">
        <f t="shared" ca="1" si="10"/>
        <v>#DIV/0!</v>
      </c>
      <c r="H287" s="227">
        <f ca="1">O147 + IF(lohcProd_integratedFacility="Yes", VLOOKUP(LOHCHydrogenationEmissionsBreakdown[[#This Row],[Major category]],_xlfn.CHOOSECOLS(INDIRECT($K$179),1,4),2,FALSE), 0)</f>
        <v>0</v>
      </c>
      <c r="I287" t="s">
        <v>489</v>
      </c>
    </row>
    <row r="288" spans="5:9" x14ac:dyDescent="0.25">
      <c r="E288" t="s">
        <v>378</v>
      </c>
      <c r="G288" t="e">
        <f t="shared" ca="1" si="10"/>
        <v>#DIV/0!</v>
      </c>
      <c r="H288">
        <f ca="1">IF(lohcProd_integratedFacility="Yes", VLOOKUP(LOHCHydrogenationEmissionsBreakdown[[#This Row],[Major category]],_xlfn.CHOOSECOLS(INDIRECT($K$179),1,4),2,FALSE), 0)</f>
        <v>0</v>
      </c>
      <c r="I288" t="s">
        <v>489</v>
      </c>
    </row>
    <row r="289" spans="5:9" x14ac:dyDescent="0.25">
      <c r="E289" t="s">
        <v>384</v>
      </c>
      <c r="G289" t="e">
        <f t="shared" ca="1" si="10"/>
        <v>#DIV/0!</v>
      </c>
      <c r="H289" s="227">
        <f ca="1">O170 + IF(lohcProd_integratedFacility="Yes", VLOOKUP(LOHCHydrogenationEmissionsBreakdown[[#This Row],[Major category]],_xlfn.CHOOSECOLS(INDIRECT($K$179),1,4),2,FALSE), 0)</f>
        <v>0</v>
      </c>
      <c r="I289"/>
    </row>
    <row r="290" spans="5:9" x14ac:dyDescent="0.25">
      <c r="E290" t="s">
        <v>490</v>
      </c>
      <c r="G290" t="e">
        <f t="shared" ca="1" si="10"/>
        <v>#DIV/0!</v>
      </c>
      <c r="H290">
        <f ca="1">IF(lohcProd_integratedFacility="Yes", VLOOKUP(LOHCHydrogenationEmissionsBreakdown[[#This Row],[Major category]],_xlfn.CHOOSECOLS(INDIRECT($K$179),1,4),2,FALSE), 0)</f>
        <v>0</v>
      </c>
      <c r="I290"/>
    </row>
    <row r="291" spans="5:9" x14ac:dyDescent="0.25">
      <c r="E291" t="s">
        <v>379</v>
      </c>
      <c r="G291" t="e">
        <f t="shared" ca="1" si="10"/>
        <v>#DIV/0!</v>
      </c>
      <c r="H291">
        <f ca="1">IF(lohcProd_integratedFacility="Yes", VLOOKUP(LOHCHydrogenationEmissionsBreakdown[[#This Row],[Major category]],_xlfn.CHOOSECOLS(INDIRECT($K$179),1,4),2,FALSE), 0)</f>
        <v>0</v>
      </c>
      <c r="I291" t="s">
        <v>489</v>
      </c>
    </row>
    <row r="292" spans="5:9" x14ac:dyDescent="0.25">
      <c r="E292" t="s">
        <v>869</v>
      </c>
      <c r="G292" t="e">
        <f t="shared" ca="1" si="10"/>
        <v>#DIV/0!</v>
      </c>
      <c r="H292">
        <f ca="1">IF(lohcProd_integratedFacility="Yes", VLOOKUP(LOHCHydrogenationEmissionsBreakdown[[#This Row],[Major category]],_xlfn.CHOOSECOLS(INDIRECT($K$179),1,4),2,FALSE), 0)</f>
        <v>0</v>
      </c>
      <c r="I292" t="s">
        <v>489</v>
      </c>
    </row>
    <row r="293" spans="5:9" x14ac:dyDescent="0.25">
      <c r="E293" t="s">
        <v>870</v>
      </c>
      <c r="G293" t="e">
        <f t="shared" ca="1" si="10"/>
        <v>#DIV/0!</v>
      </c>
      <c r="H293">
        <f ca="1">IF(lohcProd_integratedFacility="Yes", VLOOKUP(LOHCHydrogenationEmissionsBreakdown[[#This Row],[Major category]],_xlfn.CHOOSECOLS(INDIRECT($K$179),1,4),2,FALSE), 0)</f>
        <v>0</v>
      </c>
      <c r="I293" t="s">
        <v>489</v>
      </c>
    </row>
    <row r="294" spans="5:9" x14ac:dyDescent="0.25">
      <c r="E294" t="s">
        <v>382</v>
      </c>
      <c r="G294" t="e">
        <f t="shared" ca="1" si="10"/>
        <v>#DIV/0!</v>
      </c>
      <c r="H294">
        <f ca="1">IF(lohcProd_integratedFacility="Yes", VLOOKUP(LOHCHydrogenationEmissionsBreakdown[[#This Row],[Major category]],_xlfn.CHOOSECOLS(INDIRECT($K$179),1,4),2,FALSE), 0)</f>
        <v>0</v>
      </c>
      <c r="I294" t="s">
        <v>489</v>
      </c>
    </row>
    <row r="295" spans="5:9" x14ac:dyDescent="0.25">
      <c r="E295" t="s">
        <v>491</v>
      </c>
      <c r="F295"/>
      <c r="G295" t="e">
        <f ca="1">H295/lohcProd_quantityProduced_tonnes</f>
        <v>#DIV/0!</v>
      </c>
      <c r="H295">
        <f ca="1">conditioning_transport_emissions + IF(lohcProd_integratedFacility="Yes", VLOOKUP(LOHCHydrogenationEmissionsBreakdown[[#This Row],[Major category]],_xlfn.CHOOSECOLS(INDIRECT($K$179),1,4),2,FALSE), 0)</f>
        <v>0</v>
      </c>
      <c r="I295" t="s">
        <v>492</v>
      </c>
    </row>
    <row r="296" spans="5:9" x14ac:dyDescent="0.25">
      <c r="E296" t="s">
        <v>493</v>
      </c>
      <c r="F296"/>
      <c r="G296" t="e">
        <f ca="1">H296/lohcProd_quantityProduced_tonnes</f>
        <v>#DIV/0!</v>
      </c>
      <c r="H296">
        <f ca="1">conditioning_storage_emissions + IF(lohcProd_integratedFacility="Yes", VLOOKUP(LOHCHydrogenationEmissionsBreakdown[[#This Row],[Major category]],_xlfn.CHOOSECOLS(INDIRECT($K$179),1,4),2,FALSE), 0)</f>
        <v>0</v>
      </c>
      <c r="I296" t="s">
        <v>492</v>
      </c>
    </row>
    <row r="297" spans="5:9" x14ac:dyDescent="0.25">
      <c r="E297" t="s">
        <v>383</v>
      </c>
      <c r="F297"/>
      <c r="G297" t="e">
        <f ca="1">H297/lohcProd_quantityProduced_tonnes</f>
        <v>#DIV/0!</v>
      </c>
      <c r="H297" s="227">
        <f ca="1">O163 + IF(lohcProd_integratedFacility="Yes", VLOOKUP(LOHCHydrogenationEmissionsBreakdown[[#This Row],[Major category]],_xlfn.CHOOSECOLS(INDIRECT($K$179),1,4),2,FALSE), 0)</f>
        <v>0</v>
      </c>
      <c r="I297" t="s">
        <v>489</v>
      </c>
    </row>
    <row r="298" spans="5:9" x14ac:dyDescent="0.25">
      <c r="E298" t="s">
        <v>494</v>
      </c>
      <c r="F298"/>
      <c r="G298" s="71" t="e">
        <f ca="1">H298/lohcProd_quantityProduced_tonnes</f>
        <v>#DIV/0!</v>
      </c>
      <c r="H298" s="227">
        <f ca="1">('Transport - Conditioning'!$H$121+'Transport - Conditioning'!$H$122) + IF(liqHydrogen_integratedFacility="Yes", VLOOKUP(LOHCHydrogenationEmissionsBreakdown[[#This Row],[Major category]],_xlfn.CHOOSECOLS(INDIRECT($K$179),1,4),2,FALSE), 0)</f>
        <v>0</v>
      </c>
      <c r="I298" s="1118" t="s">
        <v>495</v>
      </c>
    </row>
    <row r="299" spans="5:9" x14ac:dyDescent="0.25">
      <c r="E299" t="s">
        <v>496</v>
      </c>
      <c r="F299"/>
      <c r="G299" s="1118" t="e">
        <f ca="1">H299/lohcProd_quantityProduced_tonnes</f>
        <v>#DIV/0!</v>
      </c>
      <c r="H299" s="227">
        <f ca="1">'Transport - Conditioning'!$H$123 + IF(liqHydrogen_integratedFacility="Yes", VLOOKUP(LOHCHydrogenationEmissionsBreakdown[[#This Row],[Major category]],_xlfn.CHOOSECOLS(INDIRECT($K$179),1,4),2,FALSE), 0)</f>
        <v>0</v>
      </c>
      <c r="I299" s="1118" t="s">
        <v>495</v>
      </c>
    </row>
  </sheetData>
  <sheetProtection selectLockedCells="1" selectUnlockedCells="1"/>
  <mergeCells count="29">
    <mergeCell ref="B3:Q3"/>
    <mergeCell ref="AL35:AL36"/>
    <mergeCell ref="AM35:AM36"/>
    <mergeCell ref="AH33:AM34"/>
    <mergeCell ref="I31:I32"/>
    <mergeCell ref="AH35:AH36"/>
    <mergeCell ref="AI35:AI36"/>
    <mergeCell ref="AJ35:AJ36"/>
    <mergeCell ref="AK35:AK36"/>
    <mergeCell ref="H40:H41"/>
    <mergeCell ref="H66:H67"/>
    <mergeCell ref="H75:H76"/>
    <mergeCell ref="H92:J92"/>
    <mergeCell ref="I93:I94"/>
    <mergeCell ref="J93:J94"/>
    <mergeCell ref="H85:H86"/>
    <mergeCell ref="Y243:Z243"/>
    <mergeCell ref="AA217:AB217"/>
    <mergeCell ref="Y218:Z218"/>
    <mergeCell ref="Y219:Z219"/>
    <mergeCell ref="Y228:Z228"/>
    <mergeCell ref="Y229:Z229"/>
    <mergeCell ref="Y242:Z242"/>
    <mergeCell ref="AA216:AB216"/>
    <mergeCell ref="K93:K94"/>
    <mergeCell ref="AA205:AB205"/>
    <mergeCell ref="AA206:AB206"/>
    <mergeCell ref="Y214:Z214"/>
    <mergeCell ref="AA215:AB215"/>
  </mergeCells>
  <phoneticPr fontId="3" type="noConversion"/>
  <conditionalFormatting sqref="C15">
    <cfRule type="expression" dxfId="135" priority="6">
      <formula>$E$14="Yes"</formula>
    </cfRule>
  </conditionalFormatting>
  <conditionalFormatting sqref="C16:C17">
    <cfRule type="expression" dxfId="134" priority="5">
      <formula>$E$15="Yes"</formula>
    </cfRule>
    <cfRule type="expression" dxfId="133" priority="9">
      <formula>$E$14="Yes"</formula>
    </cfRule>
  </conditionalFormatting>
  <conditionalFormatting sqref="E15">
    <cfRule type="expression" dxfId="132" priority="7">
      <formula>$E$14="Yes"</formula>
    </cfRule>
  </conditionalFormatting>
  <conditionalFormatting sqref="E16">
    <cfRule type="expression" dxfId="131" priority="3">
      <formula>AND($E$15="Yes",$E$14="No")</formula>
    </cfRule>
  </conditionalFormatting>
  <conditionalFormatting sqref="E16:F17">
    <cfRule type="expression" dxfId="130" priority="4">
      <formula>$E$15="Yes"</formula>
    </cfRule>
    <cfRule type="expression" dxfId="129" priority="8">
      <formula>$E$14="Yes"</formula>
    </cfRule>
  </conditionalFormatting>
  <conditionalFormatting sqref="H89">
    <cfRule type="expression" dxfId="128" priority="21">
      <formula>NOT(ISNUMBER($Y89))</formula>
    </cfRule>
  </conditionalFormatting>
  <conditionalFormatting sqref="H96:H100">
    <cfRule type="expression" dxfId="127" priority="31">
      <formula>AND(NOT(ISNUMBER(AB96)),$F96&lt;&gt;"")</formula>
    </cfRule>
  </conditionalFormatting>
  <conditionalFormatting sqref="I40:I41">
    <cfRule type="expression" dxfId="126" priority="43">
      <formula>($H$43&lt;&gt;"")</formula>
    </cfRule>
  </conditionalFormatting>
  <conditionalFormatting sqref="I43">
    <cfRule type="expression" dxfId="125" priority="42">
      <formula>($H$43&lt;&gt;"")</formula>
    </cfRule>
  </conditionalFormatting>
  <conditionalFormatting sqref="K96:K100">
    <cfRule type="expression" dxfId="114" priority="28">
      <formula>AND(NOT(ISNUMBER($AA96)),$F96&lt;&gt;"")</formula>
    </cfRule>
  </conditionalFormatting>
  <conditionalFormatting sqref="N17:P18">
    <cfRule type="expression" dxfId="113" priority="2">
      <formula>$E$14="Yes"</formula>
    </cfRule>
  </conditionalFormatting>
  <conditionalFormatting sqref="O10">
    <cfRule type="expression" dxfId="112" priority="1">
      <formula>$E$14="Yes"</formula>
    </cfRule>
  </conditionalFormatting>
  <dataValidations count="30">
    <dataValidation type="decimal" operator="greaterThanOrEqual" allowBlank="1" showInputMessage="1" showErrorMessage="1" prompt="Value must be entered to use default emission factor" sqref="I43" xr:uid="{46C420D6-2EC9-4357-B7F9-D2B8C7F2865F}">
      <formula1>0</formula1>
    </dataValidation>
    <dataValidation allowBlank="1" showInputMessage="1" showErrorMessage="1" prompt="Leave blank to use default value" sqref="H43" xr:uid="{0C3C8917-4E63-4C00-8E9B-411B7A6FFF04}"/>
    <dataValidation type="decimal" operator="greaterThanOrEqual" allowBlank="1" showInputMessage="1" showErrorMessage="1" prompt="Leave blank to use default value" sqref="I34:I36" xr:uid="{470B8474-4BB8-491D-89A3-2A28AB8C0693}">
      <formula1>0</formula1>
    </dataValidation>
    <dataValidation type="decimal" operator="greaterThanOrEqual" showInputMessage="1" showErrorMessage="1" sqref="E137" xr:uid="{48256268-C0C7-418E-BE40-D1FA116C0467}">
      <formula1>0</formula1>
    </dataValidation>
    <dataValidation type="decimal" operator="greaterThanOrEqual" allowBlank="1" showInputMessage="1" showErrorMessage="1" prompt="If no bespoke factor is entered a default will be selected._x000a__x000a_Note no defaults exist for some fuels. Cell will appear red if no default exists_x000a_" sqref="K96:K100" xr:uid="{16009ED7-0413-405E-B050-F4AC27F855C3}">
      <formula1>0</formula1>
    </dataValidation>
    <dataValidation allowBlank="1" showInputMessage="1" showErrorMessage="1" prompt="Inputs may include chemicals, materials, etc." sqref="E78" xr:uid="{8EE3E9BD-0747-4DDE-8EBD-3E75EB1E5F76}"/>
    <dataValidation allowBlank="1" showInputMessage="1" showErrorMessage="1" prompt="i.e. river water, groundwater, etc." sqref="E43" xr:uid="{BAF85A3B-B294-465C-9C24-299282C0700F}"/>
    <dataValidation type="decimal" operator="greaterThanOrEqual" allowBlank="1" showInputMessage="1" showErrorMessage="1" prompt="Leave blank to use default value." sqref="H69:H71" xr:uid="{A38A2FD3-7036-4EDE-BF54-FD77EA2711A5}">
      <formula1>0</formula1>
    </dataValidation>
    <dataValidation type="decimal" operator="greaterThan" allowBlank="1" showInputMessage="1" showErrorMessage="1" prompt="If no bespoke factor entered, a default will be selected." sqref="I96:J100" xr:uid="{F297767C-1B7F-4FAD-AE59-D4543C360586}">
      <formula1>0</formula1>
    </dataValidation>
    <dataValidation type="decimal" operator="greaterThanOrEqual" allowBlank="1" showInputMessage="1" showErrorMessage="1" sqref="F169:F170 G96:G100 G120:G123 J34:J36 E153 G34:G36 G107:G113 F78:F81 E138:E139 E146 H78:H81 F69:F71" xr:uid="{EEB7A184-62D2-4252-A870-F361E46FC096}">
      <formula1>0</formula1>
    </dataValidation>
    <dataValidation allowBlank="1" showInputMessage="1" showErrorMessage="1" prompt="Enter percentage (%) purity at gate" sqref="E26" xr:uid="{9458DD6C-2887-427E-B3EF-2485DD70D717}"/>
    <dataValidation type="decimal" operator="greaterThan" allowBlank="1" showInputMessage="1" showErrorMessage="1" sqref="E17" xr:uid="{77246AD7-7234-418D-A6CD-6D69A427695E}">
      <formula1>0</formula1>
    </dataValidation>
    <dataValidation type="list" allowBlank="1" showDropDown="1" showInputMessage="1" showErrorMessage="1" sqref="E88:E89" xr:uid="{F0D40CA8-931B-40EC-9232-F21749422757}">
      <formula1>LOHC_feedstockOptions</formula1>
    </dataValidation>
    <dataValidation type="decimal" operator="greaterThanOrEqual" allowBlank="1" showInputMessage="1" showErrorMessage="1" prompt="Enter quantity of feedstock used for reaction purposes (i.e. excluding feedstock used for electrcity generation or heating)" sqref="F88:F89" xr:uid="{BC775872-895F-4B83-93A3-4D2197788B66}">
      <formula1>0</formula1>
    </dataValidation>
    <dataValidation type="decimal" operator="greaterThanOrEqual" allowBlank="1" showInputMessage="1" showErrorMessage="1" prompt="If no bespoke factor is entered a default will be selected." sqref="H89" xr:uid="{8BD079DE-FAE4-49B0-A024-6A1FE8E0FD1A}">
      <formula1>0</formula1>
    </dataValidation>
    <dataValidation type="decimal" allowBlank="1" showInputMessage="1" showErrorMessage="1" prompt="If no bespoke factor is entered a default will be selected. Note no defaults exist for some fuels." sqref="H89" xr:uid="{3153932C-D6AE-4695-A464-D7AEED4C6543}">
      <formula1>0</formula1>
      <formula2>1</formula2>
    </dataValidation>
    <dataValidation type="whole" operator="greaterThanOrEqual" allowBlank="1" showInputMessage="1" showErrorMessage="1" prompt="If no bespoke factor is entered a default will be selected._x000a__x000a_Note no defaults exist for some fuels. Cell will appear red if no default exists" sqref="H89" xr:uid="{D49704CF-6000-4928-94AA-15D6F3B5E5F5}">
      <formula1>0</formula1>
    </dataValidation>
    <dataValidation type="list" allowBlank="1" showInputMessage="1" showErrorMessage="1" sqref="E13" xr:uid="{B0CCF74C-87F2-462A-8949-ACBFE5C773E6}">
      <formula1>LOHC_pathwayOptions</formula1>
    </dataValidation>
    <dataValidation allowBlank="1" showDropDown="1" showInputMessage="1" showErrorMessage="1" sqref="C50:C51 C54 AD50:AD53 AE54" xr:uid="{6F9FF511-93A9-4B9B-9E26-E9D7752627DA}"/>
    <dataValidation type="decimal" showInputMessage="1" showErrorMessage="1" error="Quantity sold must be equal to or less than quantity produced." sqref="F146 F153" xr:uid="{88327B06-A7C6-4F78-B1EA-420092EA5E7E}">
      <formula1>0</formula1>
      <formula2>E146</formula2>
    </dataValidation>
    <dataValidation type="decimal" operator="greaterThanOrEqual" showInputMessage="1" showErrorMessage="1" error="Quantity sold must be greater than or equal to 0." sqref="F137:F139" xr:uid="{8E81B1AB-F39F-4DD7-9478-BE0BBEBF875D}">
      <formula1>0</formula1>
    </dataValidation>
    <dataValidation type="decimal" operator="greaterThanOrEqual" allowBlank="1" showErrorMessage="1" error="Value must be greater than or equal to zero." sqref="E12 E16 E24 F43 E130" xr:uid="{0780A32B-1A2D-4121-8131-1C5499E7FA4B}">
      <formula1>0</formula1>
    </dataValidation>
    <dataValidation allowBlank="1" showInputMessage="1" showErrorMessage="1" prompt="Enter contaminant information, i.e. type and concentration" sqref="E27" xr:uid="{5135EEE4-B9EE-485F-86A0-9288DC75832A}"/>
    <dataValidation type="decimal" operator="greaterThanOrEqual" allowBlank="1" showInputMessage="1" showErrorMessage="1" error="Value must be greater than or equal to zero." prompt="Input total quantity of steam produced via a Combined Heat and Power system consumed by this process. Value must be less than or equal to the total steam produced via CHP input into 'Electricity Usage' tab." sqref="E61" xr:uid="{A6D66105-E521-441E-8BA3-C4E2E4C8ED1A}">
      <formula1>0</formula1>
    </dataValidation>
    <dataValidation type="decimal" operator="greaterThanOrEqual" allowBlank="1" showInputMessage="1" showErrorMessage="1" error="Value must be greater than or equal to zero." prompt="Input total electricity consumption allocated to this process from all electricity sources" sqref="E50" xr:uid="{24B5B818-6FB3-474E-9CDD-37AF0E8C7E7B}">
      <formula1>0</formula1>
    </dataValidation>
    <dataValidation type="decimal" operator="greaterThanOrEqual" allowBlank="1" showInputMessage="1" showErrorMessage="1" error="Value must be greater than or equal to zero." prompt="Input total quantity of renewable electricity allocated to this process. Value must be less than or equal to the total renewable electricity input into 'Electricity Usage' tab." sqref="E51" xr:uid="{6DB9567D-85B9-4D49-9419-A6DB619D033C}">
      <formula1>0</formula1>
    </dataValidation>
    <dataValidation type="decimal" operator="greaterThanOrEqual" allowBlank="1" showInputMessage="1" showErrorMessage="1" error="Value must be greater than or equal to zero." prompt="Input total quantity of grid electricity allocated to this process. Value must be less than or equal to the total grid electricity input into 'Electricity Usage' tab." sqref="E53" xr:uid="{996E1571-79CB-42CA-805C-E2037B972014}">
      <formula1>0</formula1>
    </dataValidation>
    <dataValidation type="decimal" operator="greaterThanOrEqual" allowBlank="1" showInputMessage="1" showErrorMessage="1" error="Value must be greater than or equal to zero." prompt="Input total quantity of onsite electricity generated via fuel combustion allocated to this process. Value must be less than or equal to the total input into 'Electricity Usage' tab." sqref="E54" xr:uid="{0DBC9644-5E59-43D3-B6F5-372236C03372}">
      <formula1>0</formula1>
    </dataValidation>
    <dataValidation allowBlank="1" showInputMessage="1" showErrorMessage="1" prompt="Note: All Co-Product names must be unique." sqref="C160:C162" xr:uid="{2A73DFB4-5152-43B1-80AD-57A4CC8A7214}"/>
    <dataValidation type="list" allowBlank="1" showInputMessage="1" showErrorMessage="1" sqref="F50:F51 F53:F54" xr:uid="{E7717CCC-7D8E-4D29-AFFD-0F70513185AA}">
      <formula1>Energy_Units_Options</formula1>
    </dataValidation>
  </dataValidations>
  <pageMargins left="0.7" right="0.7" top="0.75" bottom="0.75" header="0.3" footer="0.3"/>
  <pageSetup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34" id="{70D9A3E6-E942-4565-BF76-09905541B71F}">
            <xm:f>OR((OR(($F34='Key Values'!$B$26),($F34='Key Values'!$B$27))),(OR(($F35='Key Values'!$B$26),($F35='Key Values'!$B$27))),(OR(($F36='Key Values'!$B$26),($F36='Key Values'!$B$27))))</xm:f>
            <x14:dxf>
              <font>
                <color auto="1"/>
              </font>
              <fill>
                <patternFill patternType="solid">
                  <bgColor rgb="FF00A7D3"/>
                </patternFill>
              </fill>
            </x14:dxf>
          </x14:cfRule>
          <xm:sqref>J32</xm:sqref>
        </x14:conditionalFormatting>
        <x14:conditionalFormatting xmlns:xm="http://schemas.microsoft.com/office/excel/2006/main">
          <x14:cfRule type="expression" priority="38" id="{F75DA33F-D796-4F67-BECA-E01C074E3B20}">
            <xm:f>OR(($F34='Key Values'!$B$26),($F34='Key Values'!$B$27))</xm:f>
            <x14:dxf>
              <border>
                <top style="thin">
                  <color auto="1"/>
                </top>
                <bottom/>
                <vertical/>
                <horizontal/>
              </border>
            </x14:dxf>
          </x14:cfRule>
          <xm:sqref>J34</xm:sqref>
        </x14:conditionalFormatting>
        <x14:conditionalFormatting xmlns:xm="http://schemas.microsoft.com/office/excel/2006/main">
          <x14:cfRule type="expression" priority="41" id="{F12BA0A3-FF7D-4E48-8B2D-CC1C2CF6E92B}">
            <xm:f>OR(($F34='Key Values'!$B$26),($F34='Key Values'!$B$27))</xm:f>
            <x14:dxf>
              <font>
                <color auto="1"/>
              </font>
              <fill>
                <patternFill>
                  <bgColor theme="5" tint="0.59996337778862885"/>
                </patternFill>
              </fill>
              <border>
                <left style="hair">
                  <color auto="1"/>
                </left>
                <right style="thin">
                  <color auto="1"/>
                </right>
                <top/>
                <bottom/>
              </border>
            </x14:dxf>
          </x14:cfRule>
          <xm:sqref>J34:J36</xm:sqref>
        </x14:conditionalFormatting>
        <x14:conditionalFormatting xmlns:xm="http://schemas.microsoft.com/office/excel/2006/main">
          <x14:cfRule type="expression" priority="32" id="{C080DD8C-2F1F-4E89-B519-E3AE06B1D1C2}">
            <xm:f>AND(NOT(OR(($F36='Key Values'!$B$26),($F36='Key Values'!$B$27))),OR(($F35='Key Values'!$B$26),($F35='Key Values'!$B$27)))</xm:f>
            <x14:dxf>
              <border>
                <bottom style="thin">
                  <color auto="1"/>
                </bottom>
                <vertical/>
                <horizontal/>
              </border>
            </x14:dxf>
          </x14:cfRule>
          <x14:cfRule type="expression" priority="33" id="{31BB9595-410D-492E-995D-EE4A11C8BBD5}">
            <xm:f>AND(NOT(OR(($F34='Key Values'!$B$26),($F34='Key Values'!$B$27))),OR(($F35='Key Values'!$B$26),($F35='Key Values'!$B$27)))</xm:f>
            <x14:dxf>
              <border>
                <top style="thin">
                  <color auto="1"/>
                </top>
                <vertical/>
                <horizontal/>
              </border>
            </x14:dxf>
          </x14:cfRule>
          <x14:cfRule type="expression" priority="35" id="{AFE1C497-CCDC-450F-A4E1-7A67C29601D4}">
            <xm:f>AND(NOT(OR(($F35='Key Values'!$B$26),($F35='Key Values'!$B$27))),OR(($F34='Key Values'!$B$26),($F34='Key Values'!$B$27)))</xm:f>
            <x14:dxf>
              <border>
                <top style="thin">
                  <color auto="1"/>
                </top>
                <vertical/>
                <horizontal/>
              </border>
            </x14:dxf>
          </x14:cfRule>
          <x14:cfRule type="expression" priority="36" id="{A05A91DC-0A08-4DA0-AB42-18854FBF5CC1}">
            <xm:f>AND(NOT(OR(($F35='Key Values'!$B$26),($F35='Key Values'!$B$27))),OR(($F36='Key Values'!$B$26),($F36='Key Values'!$B$27)))</xm:f>
            <x14:dxf>
              <border>
                <bottom style="thin">
                  <color auto="1"/>
                </bottom>
                <vertical/>
                <horizontal/>
              </border>
            </x14:dxf>
          </x14:cfRule>
          <x14:cfRule type="expression" priority="37" id="{9DE7DD35-34D1-4B58-85CA-45EBAC1319FD}">
            <xm:f>AND(OR(($F34='Key Values'!$B$26),($F34='Key Values'!$B$27)),OR(($F35='Key Values'!$B$26),($F35='Key Values'!$B$27)))</xm:f>
            <x14:dxf>
              <border>
                <top style="hair">
                  <color auto="1"/>
                </top>
                <vertical/>
                <horizontal/>
              </border>
            </x14:dxf>
          </x14:cfRule>
          <x14:cfRule type="expression" priority="39" id="{0514A98C-9C8E-4242-B8C5-4979F8E2B3F2}">
            <xm:f>AND(OR(($F35='Key Values'!$B$26),($F35='Key Values'!$B$27)),OR(($F36='Key Values'!$B$26),($F36='Key Values'!$B$27)))</xm:f>
            <x14:dxf>
              <border>
                <bottom style="hair">
                  <color auto="1"/>
                </bottom>
                <vertical/>
                <horizontal/>
              </border>
            </x14:dxf>
          </x14:cfRule>
          <xm:sqref>J35</xm:sqref>
        </x14:conditionalFormatting>
        <x14:conditionalFormatting xmlns:xm="http://schemas.microsoft.com/office/excel/2006/main">
          <x14:cfRule type="expression" priority="40" id="{1D072469-6DB9-4941-9CAA-0587672EC9C9}">
            <xm:f>OR(($F36='Key Values'!$B$26),($F36='Key Values'!$B$27))</xm:f>
            <x14:dxf>
              <border>
                <bottom style="thin">
                  <color auto="1"/>
                </bottom>
                <vertical/>
                <horizontal/>
              </border>
            </x14:dxf>
          </x14:cfRule>
          <xm:sqref>J36</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807D0FE1-0F0C-435C-ACE9-61C64947804D}">
          <x14:formula1>
            <xm:f>'Hidden Lists and Summaries'!$B$29:$B$34</xm:f>
          </x14:formula1>
          <xm:sqref>G78:G81 G160:G162</xm:sqref>
        </x14:dataValidation>
        <x14:dataValidation type="list" allowBlank="1" showInputMessage="1" showErrorMessage="1" xr:uid="{6D576AC2-1ECF-4512-8ED0-B6378457FBD7}">
          <x14:formula1>
            <xm:f>'Hidden Lists and Summaries'!$B$5:$B$9</xm:f>
          </x14:formula1>
          <xm:sqref>F120:F123</xm:sqref>
        </x14:dataValidation>
        <x14:dataValidation type="list" allowBlank="1" showInputMessage="1" showErrorMessage="1" xr:uid="{B358B355-375C-496A-8C77-63C3E031B800}">
          <x14:formula1>
            <xm:f>'Key Values'!$B$35:$B$37</xm:f>
          </x14:formula1>
          <xm:sqref>E96:E100</xm:sqref>
        </x14:dataValidation>
        <x14:dataValidation type="list" allowBlank="1" showInputMessage="1" showErrorMessage="1" xr:uid="{7CD57587-A79A-48B3-9774-6D8F88677E69}">
          <x14:formula1>
            <xm:f>'Key Values'!$B$20:$B$27</xm:f>
          </x14:formula1>
          <xm:sqref>F34:F36</xm:sqref>
        </x14:dataValidation>
        <x14:dataValidation type="list" allowBlank="1" showDropDown="1" showInputMessage="1" showErrorMessage="1" xr:uid="{74BBA2F6-FAA5-452C-9F10-91B3A65E1290}">
          <x14:formula1>
            <xm:f>'Key Values'!$B$303</xm:f>
          </x14:formula1>
          <xm:sqref>F130</xm:sqref>
        </x14:dataValidation>
        <x14:dataValidation type="list" allowBlank="1" showInputMessage="1" showErrorMessage="1" xr:uid="{8213FCF6-62AC-4BEB-B6DB-1ACD53426F89}">
          <x14:formula1>
            <xm:f>'Key Values'!$B$291:$B$292</xm:f>
          </x14:formula1>
          <xm:sqref>G146 G69:G71 G137:G139 H107:H113 G89:H89 F24 F16 F12 F61 G153 G88</xm:sqref>
        </x14:dataValidation>
        <x14:dataValidation type="list" allowBlank="1" showInputMessage="1" showErrorMessage="1" xr:uid="{AB53E356-B02E-4C49-818A-CF2253231C37}">
          <x14:formula1>
            <xm:f>'Key Values'!$B$313:$B$317</xm:f>
          </x14:formula1>
          <xm:sqref>G43 H34:H36</xm:sqref>
        </x14:dataValidation>
        <x14:dataValidation type="list" operator="greaterThanOrEqual" allowBlank="1" showInputMessage="1" showErrorMessage="1" xr:uid="{07695D5C-5277-4333-A985-E048B4EB3DD5}">
          <x14:formula1>
            <xm:f>'Key Values'!$B$291:$B$292</xm:f>
          </x14:formula1>
          <xm:sqref>G88:G89</xm:sqref>
        </x14:dataValidation>
        <x14:dataValidation type="list" allowBlank="1" showDropDown="1" showInputMessage="1" showErrorMessage="1" xr:uid="{0E3DB729-5AD3-4EE4-B84F-3427464F4CAC}">
          <x14:formula1>
            <xm:f>'Key Values'!$B$291</xm:f>
          </x14:formula1>
          <xm:sqref>G169:G170</xm:sqref>
        </x14:dataValidation>
        <x14:dataValidation type="list" allowBlank="1" showInputMessage="1" showErrorMessage="1" xr:uid="{BEE0D4E1-C5C1-4588-9FE6-53B5D7762E39}">
          <x14:formula1>
            <xm:f>'Hidden Lists and Summaries'!$B$151:$B$152</xm:f>
          </x14:formula1>
          <xm:sqref>E14:E15</xm:sqref>
        </x14:dataValidation>
        <x14:dataValidation type="list" allowBlank="1" showInputMessage="1" showErrorMessage="1" xr:uid="{006260D1-31DD-49BE-B54B-113B0BC28654}">
          <x14:formula1>
            <xm:f>'Key Values'!$B$189:$B$192</xm:f>
          </x14:formula1>
          <xm:sqref>E107:E113</xm:sqref>
        </x14:dataValidation>
        <x14:dataValidation type="list" allowBlank="1" showInputMessage="1" showErrorMessage="1" xr:uid="{3603FCB6-34D3-4245-8B3D-2551B31E8232}">
          <x14:formula1>
            <xm:f>IF($E$110='Key Values'!$B$192,'Key Values'!$B$221,'Key Values'!$B$222:$B$234)</xm:f>
          </x14:formula1>
          <xm:sqref>F110</xm:sqref>
        </x14:dataValidation>
        <x14:dataValidation type="list" allowBlank="1" showInputMessage="1" showErrorMessage="1" xr:uid="{782AE1F3-2C9C-42F1-9821-C3A68E7F7D82}">
          <x14:formula1>
            <xm:f>IF($E$107='Key Values'!$B$192,'Key Values'!$B$221,'Key Values'!$B$222:$B$234)</xm:f>
          </x14:formula1>
          <xm:sqref>F107</xm:sqref>
        </x14:dataValidation>
        <x14:dataValidation type="list" allowBlank="1" showInputMessage="1" showErrorMessage="1" xr:uid="{1985F87D-128B-4DAC-8DE3-FFF574F8D4B5}">
          <x14:formula1>
            <xm:f>IF($E$108='Key Values'!$B$192,'Key Values'!$B$221,'Key Values'!$B$222:$B$234)</xm:f>
          </x14:formula1>
          <xm:sqref>F108</xm:sqref>
        </x14:dataValidation>
        <x14:dataValidation type="list" allowBlank="1" showInputMessage="1" showErrorMessage="1" xr:uid="{79C215C4-5D65-4393-A866-0CF8E0FE2032}">
          <x14:formula1>
            <xm:f>IF($E$109='Key Values'!$B$192,'Key Values'!$B$221,'Key Values'!$B$222:$B$234)</xm:f>
          </x14:formula1>
          <xm:sqref>F109</xm:sqref>
        </x14:dataValidation>
        <x14:dataValidation type="list" allowBlank="1" showInputMessage="1" showErrorMessage="1" xr:uid="{A7E83163-FEF5-4656-B5B2-AE1C33EB20C2}">
          <x14:formula1>
            <xm:f>IF($E$111='Key Values'!$B$192,'Key Values'!$B$221,'Key Values'!$B$222:$B$234)</xm:f>
          </x14:formula1>
          <xm:sqref>F111</xm:sqref>
        </x14:dataValidation>
        <x14:dataValidation type="list" allowBlank="1" showInputMessage="1" showErrorMessage="1" xr:uid="{05F0868C-4092-44A8-9A21-2DE585749E6A}">
          <x14:formula1>
            <xm:f>IF($E$112='Key Values'!$B$192,'Key Values'!$B$221,'Key Values'!$B$222:$B$234)</xm:f>
          </x14:formula1>
          <xm:sqref>F112</xm:sqref>
        </x14:dataValidation>
        <x14:dataValidation type="list" allowBlank="1" showInputMessage="1" showErrorMessage="1" xr:uid="{CDDEB388-A225-49F1-815D-40098637161D}">
          <x14:formula1>
            <xm:f>IF($E$113='Key Values'!$B$192,'Key Values'!$B$221,'Key Values'!$B$222:$B$234)</xm:f>
          </x14:formula1>
          <xm:sqref>F113</xm:sqref>
        </x14:dataValidation>
        <x14:dataValidation type="list" allowBlank="1" showInputMessage="1" showErrorMessage="1" xr:uid="{5F166023-B736-4259-8B18-6173A615DAC0}">
          <x14:formula1>
            <xm:f>'Key Values'!$B$209:$B$217</xm:f>
          </x14:formula1>
          <xm:sqref>I69:I71</xm:sqref>
        </x14:dataValidation>
        <x14:dataValidation type="list" operator="greaterThan" allowBlank="1" showInputMessage="1" showErrorMessage="1" xr:uid="{D7A3C549-60B4-40BE-BCE4-2669CED30A7E}">
          <x14:formula1>
            <xm:f>'Key Values'!$B$197:$B$204</xm:f>
          </x14:formula1>
          <xm:sqref>J69:J71 H137:H139</xm:sqref>
        </x14:dataValidation>
        <x14:dataValidation type="list" allowBlank="1" showInputMessage="1" showErrorMessage="1" xr:uid="{71A0C16C-DA1B-4742-9318-E425D4E87B06}">
          <x14:formula1>
            <xm:f>IF(E96="Solid Fuel", 'Key Values'!$B$41:$B$58,IF(E96="Gaseous Fuel",'Key Values'!$B$72:$B$85,'Key Values'!$B$101:$B$120))</xm:f>
          </x14:formula1>
          <xm:sqref>F96:F100</xm:sqref>
        </x14:dataValidation>
        <x14:dataValidation type="list" allowBlank="1" showInputMessage="1" showErrorMessage="1" prompt="Cell will appear red if incompatible unit is selected" xr:uid="{7B8AA9B1-96EA-4086-ACE6-2FB0518E89EC}">
          <x14:formula1>
            <xm:f>IF(OR(AND(E96="Liquid Fuel", _xlfn.IFNA(VLOOKUP(F96,'Key Values'!$B$101:$H$120,3,FALSE)="GJ/t", FALSE) ),E96="Solid Fuel"),'Key Values'!$B$291:$B$292, 'Key Values'!$B$296:$B$298)</xm:f>
          </x14:formula1>
          <xm:sqref>H96:H100</xm:sqref>
        </x14:dataValidation>
        <x14:dataValidation type="list" allowBlank="1" showInputMessage="1" showErrorMessage="1" xr:uid="{0DC3A91E-4A4F-4534-A6E5-18D8CD47DF60}">
          <x14:formula1>
            <xm:f>'Key Values'!B$291:B$292</xm:f>
          </x14:formula1>
          <xm:sqref>H120:H123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AC66-3B3B-44F4-928F-68CB3993CE10}">
  <sheetPr>
    <tabColor theme="4" tint="0.39997558519241921"/>
  </sheetPr>
  <dimension ref="A1:AN127"/>
  <sheetViews>
    <sheetView showGridLines="0" zoomScale="70" zoomScaleNormal="70" workbookViewId="0">
      <selection activeCell="C47" sqref="C47"/>
    </sheetView>
  </sheetViews>
  <sheetFormatPr defaultColWidth="9.1796875" defaultRowHeight="12.75" customHeight="1" x14ac:dyDescent="0.25"/>
  <cols>
    <col min="1" max="1" width="6" customWidth="1"/>
    <col min="2" max="2" width="7.1796875" customWidth="1"/>
    <col min="3" max="3" width="70.54296875" bestFit="1" customWidth="1"/>
    <col min="4" max="4" width="6" customWidth="1"/>
    <col min="5" max="5" width="38.54296875" bestFit="1" customWidth="1"/>
    <col min="6" max="6" width="56.54296875" bestFit="1" customWidth="1"/>
    <col min="7" max="7" width="73.54296875" bestFit="1" customWidth="1"/>
    <col min="8" max="8" width="69.54296875" bestFit="1" customWidth="1"/>
    <col min="9" max="9" width="52.54296875" bestFit="1" customWidth="1"/>
    <col min="10" max="11" width="63.453125" bestFit="1" customWidth="1"/>
    <col min="12" max="12" width="9.81640625" customWidth="1"/>
    <col min="13" max="13" width="7" bestFit="1" customWidth="1"/>
    <col min="14" max="14" width="26" bestFit="1" customWidth="1"/>
    <col min="15" max="15" width="22.54296875" bestFit="1" customWidth="1"/>
    <col min="16" max="16" width="20.54296875" bestFit="1" customWidth="1"/>
    <col min="17" max="17" width="9.1796875" customWidth="1"/>
    <col min="18" max="18" width="7.1796875" customWidth="1"/>
    <col min="19" max="19" width="9.1796875" customWidth="1"/>
    <col min="20" max="20" width="27.54296875" bestFit="1" customWidth="1"/>
    <col min="21" max="21" width="29.1796875" bestFit="1" customWidth="1"/>
    <col min="22" max="22" width="36.54296875" bestFit="1" customWidth="1"/>
    <col min="23" max="23" width="39.81640625" bestFit="1" customWidth="1"/>
    <col min="24" max="24" width="38.453125" bestFit="1" customWidth="1"/>
    <col min="25" max="25" width="46.54296875" bestFit="1" customWidth="1"/>
    <col min="26" max="26" width="44.1796875" bestFit="1" customWidth="1"/>
    <col min="27" max="27" width="55" bestFit="1" customWidth="1"/>
    <col min="28" max="28" width="66.1796875" bestFit="1" customWidth="1"/>
    <col min="29" max="29" width="33.1796875" bestFit="1" customWidth="1"/>
    <col min="30" max="30" width="36.453125" bestFit="1" customWidth="1"/>
    <col min="31" max="31" width="24.81640625" bestFit="1" customWidth="1"/>
    <col min="32" max="32" width="29.1796875" bestFit="1" customWidth="1"/>
    <col min="35" max="35" width="6.453125" bestFit="1" customWidth="1"/>
    <col min="36" max="36" width="10.453125" bestFit="1" customWidth="1"/>
    <col min="37" max="37" width="21.1796875" bestFit="1" customWidth="1"/>
    <col min="38" max="38" width="25" bestFit="1" customWidth="1"/>
    <col min="39" max="40" width="7.54296875" bestFit="1" customWidth="1"/>
  </cols>
  <sheetData>
    <row r="1" spans="2:29" ht="12.5" x14ac:dyDescent="0.25"/>
    <row r="2" spans="2:29" ht="401.25" customHeight="1" x14ac:dyDescent="0.25"/>
    <row r="3" spans="2:29" ht="42.75" customHeight="1" x14ac:dyDescent="0.25">
      <c r="B3" s="1908" t="s">
        <v>175</v>
      </c>
      <c r="C3" s="1908"/>
      <c r="D3" s="1908"/>
      <c r="E3" s="1908"/>
      <c r="F3" s="1908"/>
      <c r="G3" s="1908"/>
      <c r="H3" s="1908"/>
      <c r="I3" s="1908"/>
      <c r="J3" s="1908"/>
      <c r="K3" s="1908"/>
      <c r="L3" s="1908"/>
      <c r="M3" s="1908"/>
      <c r="N3" s="1908"/>
      <c r="O3" s="1908"/>
      <c r="P3" s="1908"/>
      <c r="Q3" s="1908"/>
    </row>
    <row r="4" spans="2:29" ht="12.5" x14ac:dyDescent="0.25">
      <c r="B4" s="1081"/>
      <c r="C4" s="1082"/>
      <c r="D4" s="1082"/>
      <c r="E4" s="1082"/>
      <c r="F4" s="1082"/>
      <c r="G4" s="1082"/>
      <c r="H4" s="1082"/>
      <c r="I4" s="1082"/>
      <c r="J4" s="1082"/>
      <c r="K4" s="1082"/>
      <c r="L4" s="1082"/>
      <c r="M4" s="1082"/>
      <c r="N4" s="1082"/>
      <c r="O4" s="1082"/>
      <c r="P4" s="1082"/>
      <c r="Q4" s="1083"/>
    </row>
    <row r="5" spans="2:29" ht="15.75" customHeight="1" x14ac:dyDescent="0.25">
      <c r="B5" s="1084"/>
      <c r="C5" s="1109" t="s">
        <v>641</v>
      </c>
      <c r="D5" s="1086"/>
      <c r="E5" s="1086"/>
      <c r="F5" s="1086"/>
      <c r="G5" s="1086"/>
      <c r="H5" s="1086"/>
      <c r="I5" s="1086"/>
      <c r="J5" s="1086"/>
      <c r="K5" s="1086"/>
      <c r="L5" s="1086"/>
      <c r="M5" s="1086"/>
      <c r="N5" s="1086"/>
      <c r="O5" s="1086"/>
      <c r="P5" s="1086"/>
      <c r="Q5" s="1087"/>
      <c r="T5" s="1475" t="s">
        <v>72</v>
      </c>
      <c r="U5" s="1372"/>
      <c r="V5" s="1372"/>
      <c r="W5" s="1372"/>
      <c r="X5" s="1372"/>
      <c r="Y5" s="1372"/>
      <c r="Z5" s="1372"/>
      <c r="AA5" s="1372"/>
      <c r="AB5" s="1372"/>
      <c r="AC5" s="1373"/>
    </row>
    <row r="6" spans="2:29" ht="15.5" x14ac:dyDescent="0.25">
      <c r="B6" s="1089"/>
      <c r="C6" s="1090"/>
      <c r="D6" s="1090"/>
      <c r="E6" s="1091" t="s">
        <v>642</v>
      </c>
      <c r="F6" s="1091" t="s">
        <v>644</v>
      </c>
      <c r="G6" s="1091" t="s">
        <v>645</v>
      </c>
      <c r="H6" s="1091" t="s">
        <v>646</v>
      </c>
      <c r="I6" s="1253" t="s">
        <v>647</v>
      </c>
      <c r="J6" s="1253" t="s">
        <v>643</v>
      </c>
      <c r="K6" s="1253" t="s">
        <v>648</v>
      </c>
      <c r="L6" s="1253"/>
      <c r="M6" s="1090"/>
      <c r="N6" s="1090"/>
      <c r="O6" s="1090"/>
      <c r="P6" s="1090"/>
      <c r="Q6" s="1094"/>
      <c r="T6" s="263"/>
      <c r="AC6" s="261"/>
    </row>
    <row r="7" spans="2:29" ht="15.5" x14ac:dyDescent="0.25">
      <c r="B7" s="1192"/>
      <c r="C7" s="1193"/>
      <c r="D7" s="1193"/>
      <c r="E7" s="1193"/>
      <c r="F7" s="1193"/>
      <c r="G7" s="1124"/>
      <c r="H7" s="1193"/>
      <c r="I7" s="1124"/>
      <c r="J7" s="1193"/>
      <c r="K7" s="1193"/>
      <c r="L7" s="1193"/>
      <c r="M7" s="1193"/>
      <c r="N7" s="1193"/>
      <c r="O7" s="1193"/>
      <c r="P7" s="1193"/>
      <c r="Q7" s="1195"/>
      <c r="T7" s="1299" t="s">
        <v>646</v>
      </c>
      <c r="U7" s="1299" t="s">
        <v>649</v>
      </c>
      <c r="V7" s="1299" t="s">
        <v>650</v>
      </c>
      <c r="W7" s="1299" t="s">
        <v>651</v>
      </c>
      <c r="AC7" s="261"/>
    </row>
    <row r="8" spans="2:29" ht="12.5" x14ac:dyDescent="0.25">
      <c r="B8" s="1095"/>
      <c r="C8" s="37" t="s">
        <v>653</v>
      </c>
      <c r="D8" s="37"/>
      <c r="E8" s="1409"/>
      <c r="F8" s="362"/>
      <c r="G8" s="362"/>
      <c r="H8" s="362"/>
      <c r="I8" s="1410"/>
      <c r="J8" s="1410"/>
      <c r="K8" s="1411"/>
      <c r="L8" s="1374"/>
      <c r="M8" s="1101"/>
      <c r="N8" s="1101"/>
      <c r="O8" s="1101"/>
      <c r="P8" s="1101"/>
      <c r="Q8" s="1099"/>
      <c r="T8" s="263" t="str">
        <f>IF($H8="","N/A",$H8)</f>
        <v>N/A</v>
      </c>
      <c r="U8" s="790" t="e" cm="1" vm="1">
        <f t="array" ref="U8">IF($I8="",VLOOKUP($T8,_xlfn._xlws.FILTER(TransportFuelFactorsTable[[Heavy Vehicle Design Standard]:[Energy content factor (GJ/kL)']]],TransportFuelFactorsTable[Fuel]=$G8),2,FALSE),$I8)</f>
        <v>#VALUE!</v>
      </c>
      <c r="V8" s="790" t="e" cm="1" vm="1">
        <f t="array" ref="V8">IF($J8="",VLOOKUP($T8,_xlfn._xlws.FILTER(TransportFuelFactorsTable[[Heavy Vehicle Design Standard]:[Direct emissions factor (kg CO2-e / GJ)]],TransportFuelFactorsTable[Fuel]=$G8),3,FALSE),$J8)</f>
        <v>#VALUE!</v>
      </c>
      <c r="W8" s="923" t="e" cm="1" vm="1">
        <f t="array" ref="W8">IF($K8="",VLOOKUP($T8,_xlfn._xlws.FILTER(TransportFuelFactorsTable[[Heavy Vehicle Design Standard]:[Embodied emissions factor (kg CO2-e/ GJ)]],TransportFuelFactorsTable[Fuel]=$G8),4,FALSE),$K8)</f>
        <v>#VALUE!</v>
      </c>
      <c r="AC8" s="261"/>
    </row>
    <row r="9" spans="2:29" ht="12.5" x14ac:dyDescent="0.25">
      <c r="B9" s="1095"/>
      <c r="C9" s="37" t="s">
        <v>657</v>
      </c>
      <c r="D9" s="37"/>
      <c r="E9" s="1412"/>
      <c r="F9" s="1413"/>
      <c r="G9" s="1413"/>
      <c r="H9" s="1413"/>
      <c r="I9" s="1414"/>
      <c r="J9" s="1415"/>
      <c r="K9" s="1416"/>
      <c r="L9" s="1374"/>
      <c r="M9" s="1101"/>
      <c r="N9" s="1101"/>
      <c r="O9" s="1101"/>
      <c r="P9" s="1101"/>
      <c r="Q9" s="1099"/>
      <c r="T9" s="263" t="str">
        <f t="shared" ref="T9:T11" si="0">IF($H9="","N/A",$H9)</f>
        <v>N/A</v>
      </c>
      <c r="U9" t="e" cm="1" vm="1">
        <f t="array" ref="U9">IF($I9="",VLOOKUP($T9,_xlfn._xlws.FILTER(TransportFuelFactorsTable[[Heavy Vehicle Design Standard]:[Energy content factor (GJ/kL)']]],TransportFuelFactorsTable[Fuel]=$G9),2,FALSE),$I9)</f>
        <v>#VALUE!</v>
      </c>
      <c r="V9" t="e" cm="1" vm="1">
        <f t="array" ref="V9">IF($J9="",VLOOKUP($T9,_xlfn._xlws.FILTER(TransportFuelFactorsTable[[Heavy Vehicle Design Standard]:[Direct emissions factor (kg CO2-e / GJ)]],TransportFuelFactorsTable[Fuel]=$G9),3,FALSE),$J9)</f>
        <v>#VALUE!</v>
      </c>
      <c r="W9" s="261" t="e" cm="1" vm="1">
        <f t="array" ref="W9">IF($K9="",VLOOKUP($T9,_xlfn._xlws.FILTER(TransportFuelFactorsTable[[Heavy Vehicle Design Standard]:[Embodied emissions factor (kg CO2-e/ GJ)]],TransportFuelFactorsTable[Fuel]=$G9),4,FALSE),$K9)</f>
        <v>#VALUE!</v>
      </c>
      <c r="AC9" s="261"/>
    </row>
    <row r="10" spans="2:29" ht="12.5" x14ac:dyDescent="0.25">
      <c r="B10" s="1095"/>
      <c r="C10" s="37" t="s">
        <v>658</v>
      </c>
      <c r="D10" s="37"/>
      <c r="E10" s="1417"/>
      <c r="F10" s="366"/>
      <c r="G10" s="1413"/>
      <c r="H10" s="1413"/>
      <c r="I10" s="1414"/>
      <c r="J10" s="1414"/>
      <c r="K10" s="1418"/>
      <c r="L10" s="1374"/>
      <c r="M10" s="1101"/>
      <c r="N10" s="1101"/>
      <c r="O10" s="1101"/>
      <c r="P10" s="1101"/>
      <c r="Q10" s="1099"/>
      <c r="T10" s="263" t="str">
        <f t="shared" si="0"/>
        <v>N/A</v>
      </c>
      <c r="U10" t="e" cm="1" vm="1">
        <f t="array" ref="U10">IF($I10="",VLOOKUP($T10,_xlfn._xlws.FILTER(TransportFuelFactorsTable[[Heavy Vehicle Design Standard]:[Energy content factor (GJ/kL)']]],TransportFuelFactorsTable[Fuel]=$G10),2,FALSE),$I10)</f>
        <v>#VALUE!</v>
      </c>
      <c r="V10" t="e" cm="1" vm="1">
        <f t="array" ref="V10">IF($J10="",VLOOKUP($T10,_xlfn._xlws.FILTER(TransportFuelFactorsTable[[Heavy Vehicle Design Standard]:[Direct emissions factor (kg CO2-e / GJ)]],TransportFuelFactorsTable[Fuel]=$G10),3,FALSE),$J10)</f>
        <v>#VALUE!</v>
      </c>
      <c r="W10" s="261" t="e" cm="1" vm="1">
        <f t="array" ref="W10">IF($K10="",VLOOKUP($T10,_xlfn._xlws.FILTER(TransportFuelFactorsTable[[Heavy Vehicle Design Standard]:[Embodied emissions factor (kg CO2-e/ GJ)]],TransportFuelFactorsTable[Fuel]=$G10),4,FALSE),$K10)</f>
        <v>#VALUE!</v>
      </c>
      <c r="AC10" s="261"/>
    </row>
    <row r="11" spans="2:29" ht="12.5" x14ac:dyDescent="0.25">
      <c r="B11" s="1095"/>
      <c r="C11" s="37" t="s">
        <v>659</v>
      </c>
      <c r="D11" s="37"/>
      <c r="E11" s="1419"/>
      <c r="F11" s="1420"/>
      <c r="G11" s="408"/>
      <c r="H11" s="408"/>
      <c r="I11" s="1421"/>
      <c r="J11" s="1421"/>
      <c r="K11" s="1422"/>
      <c r="L11" s="1374"/>
      <c r="M11" s="1101"/>
      <c r="N11" s="1101"/>
      <c r="O11" s="1101"/>
      <c r="P11" s="1101"/>
      <c r="Q11" s="1099"/>
      <c r="T11" s="321" t="str">
        <f t="shared" si="0"/>
        <v>N/A</v>
      </c>
      <c r="U11" s="322" t="e" cm="1" vm="1">
        <f t="array" ref="U11">IF($I11="",VLOOKUP($T11,_xlfn._xlws.FILTER(TransportFuelFactorsTable[[Heavy Vehicle Design Standard]:[Energy content factor (GJ/kL)']]],TransportFuelFactorsTable[Fuel]=$G11),2,FALSE),$I11)</f>
        <v>#VALUE!</v>
      </c>
      <c r="V11" s="322" t="e" cm="1" vm="1">
        <f t="array" ref="V11">IF($J11="",VLOOKUP($T11,_xlfn._xlws.FILTER(TransportFuelFactorsTable[[Heavy Vehicle Design Standard]:[Direct emissions factor (kg CO2-e / GJ)]],TransportFuelFactorsTable[Fuel]=$G11),3,FALSE),$J11)</f>
        <v>#VALUE!</v>
      </c>
      <c r="W11" s="924" t="e" cm="1" vm="1">
        <f t="array" ref="W11">IF($K11="",VLOOKUP($T11,_xlfn._xlws.FILTER(TransportFuelFactorsTable[[Heavy Vehicle Design Standard]:[Embodied emissions factor (kg CO2-e/ GJ)]],TransportFuelFactorsTable[Fuel]=$G11),4,FALSE),$K11)</f>
        <v>#VALUE!</v>
      </c>
      <c r="AC11" s="261"/>
    </row>
    <row r="12" spans="2:29" ht="12.5" x14ac:dyDescent="0.25">
      <c r="B12" s="1105"/>
      <c r="C12" s="1375"/>
      <c r="D12" s="1375"/>
      <c r="E12" s="1375"/>
      <c r="F12" s="1375"/>
      <c r="G12" s="1375"/>
      <c r="H12" s="1375"/>
      <c r="I12" s="1375"/>
      <c r="J12" s="1375"/>
      <c r="K12" s="1375"/>
      <c r="L12" s="1375"/>
      <c r="M12" s="1375"/>
      <c r="N12" s="1375"/>
      <c r="O12" s="1375"/>
      <c r="P12" s="1375"/>
      <c r="Q12" s="1375"/>
      <c r="T12" s="263"/>
      <c r="AC12" s="261"/>
    </row>
    <row r="13" spans="2:29" ht="12.5" x14ac:dyDescent="0.25">
      <c r="T13" s="263"/>
      <c r="AC13" s="261"/>
    </row>
    <row r="14" spans="2:29" ht="12.5" x14ac:dyDescent="0.25">
      <c r="B14" s="1081"/>
      <c r="C14" s="1082"/>
      <c r="D14" s="1082"/>
      <c r="E14" s="1082"/>
      <c r="F14" s="1082"/>
      <c r="G14" s="1082"/>
      <c r="H14" s="1082"/>
      <c r="I14" s="1082"/>
      <c r="J14" s="1082"/>
      <c r="K14" s="1082"/>
      <c r="L14" s="1082"/>
      <c r="M14" s="1082"/>
      <c r="N14" s="1082"/>
      <c r="O14" s="1082"/>
      <c r="P14" s="1082"/>
      <c r="Q14" s="1083"/>
      <c r="T14" s="263"/>
      <c r="AC14" s="261"/>
    </row>
    <row r="15" spans="2:29" ht="15.5" x14ac:dyDescent="0.25">
      <c r="B15" s="1084"/>
      <c r="C15" s="1109" t="s">
        <v>660</v>
      </c>
      <c r="D15" s="1086"/>
      <c r="E15" s="1086"/>
      <c r="F15" s="1086"/>
      <c r="G15" s="1086"/>
      <c r="H15" s="1086"/>
      <c r="I15" s="1086"/>
      <c r="J15" s="1086"/>
      <c r="K15" s="1086"/>
      <c r="L15" s="1086"/>
      <c r="M15" s="1086"/>
      <c r="N15" s="1086"/>
      <c r="O15" s="1086"/>
      <c r="P15" s="1086"/>
      <c r="Q15" s="1087"/>
      <c r="T15" s="263"/>
      <c r="AC15" s="261"/>
    </row>
    <row r="16" spans="2:29" ht="15.5" x14ac:dyDescent="0.25">
      <c r="B16" s="1089"/>
      <c r="C16" s="1090"/>
      <c r="D16" s="1090"/>
      <c r="E16" s="1091" t="s">
        <v>661</v>
      </c>
      <c r="F16" s="1091" t="s">
        <v>662</v>
      </c>
      <c r="G16" s="1091" t="s">
        <v>663</v>
      </c>
      <c r="H16" s="1253" t="s">
        <v>664</v>
      </c>
      <c r="I16" s="1092"/>
      <c r="J16" s="1090"/>
      <c r="K16" s="1090"/>
      <c r="L16" s="1090"/>
      <c r="M16" s="1090"/>
      <c r="N16" s="1090"/>
      <c r="O16" s="1377" t="s">
        <v>665</v>
      </c>
      <c r="P16" s="1377" t="s">
        <v>257</v>
      </c>
      <c r="Q16" s="1094"/>
      <c r="T16" s="263"/>
      <c r="AC16" s="261"/>
    </row>
    <row r="17" spans="2:29" ht="15.5" x14ac:dyDescent="0.25">
      <c r="B17" s="1095"/>
      <c r="C17" s="1096"/>
      <c r="D17" s="1096"/>
      <c r="E17" s="1096"/>
      <c r="F17" s="1096"/>
      <c r="G17" s="1096"/>
      <c r="H17" s="1098"/>
      <c r="I17" s="1098"/>
      <c r="J17" s="1096"/>
      <c r="K17" s="1096"/>
      <c r="L17" s="1096"/>
      <c r="M17" s="1096"/>
      <c r="N17" s="1096"/>
      <c r="O17" s="1097"/>
      <c r="P17" s="1097"/>
      <c r="Q17" s="1099"/>
      <c r="T17" s="1299" t="s">
        <v>662</v>
      </c>
      <c r="U17" s="1299" t="s">
        <v>667</v>
      </c>
      <c r="V17" s="1299" t="s">
        <v>664</v>
      </c>
      <c r="W17" s="1299" t="s">
        <v>668</v>
      </c>
      <c r="X17" s="1299" t="s">
        <v>669</v>
      </c>
      <c r="Y17" s="1299" t="s">
        <v>670</v>
      </c>
      <c r="AC17" s="261"/>
    </row>
    <row r="18" spans="2:29" ht="15.5" x14ac:dyDescent="0.25">
      <c r="B18" s="1095"/>
      <c r="C18" s="37" t="s">
        <v>653</v>
      </c>
      <c r="D18" s="37"/>
      <c r="E18" s="1409"/>
      <c r="F18" s="362"/>
      <c r="G18" s="362"/>
      <c r="H18" s="1423"/>
      <c r="I18" s="1098"/>
      <c r="J18" s="1096"/>
      <c r="K18" s="1096"/>
      <c r="L18" s="1096"/>
      <c r="M18" s="1096"/>
      <c r="N18" s="1378"/>
      <c r="O18" s="1379">
        <f>IFERROR(IF($Y18=TRUE,W18,0),'Hidden Lists and Summaries'!$C$158)</f>
        <v>0</v>
      </c>
      <c r="P18" s="1380">
        <f>IFERROR(IF($Y18=TRUE,X18,0),'Hidden Lists and Summaries'!$C$158)</f>
        <v>0</v>
      </c>
      <c r="Q18" s="1099"/>
      <c r="T18" s="1381" t="e" cm="1">
        <f t="array" ref="T18">_xlfn.IFS($E18='Hidden Lists and Summaries'!$B$82,$F18,$E18='Hidden Lists and Summaries'!$B$83,U18*V18*100/1000)</f>
        <v>#N/A</v>
      </c>
      <c r="U18" s="1382">
        <f>G18</f>
        <v>0</v>
      </c>
      <c r="V18" s="1382" t="str" cm="1">
        <f t="array" ref="V18">IF(H18&lt;&gt;"",H18,IFERROR(VLOOKUP(G8,_xlfn._xlws.FILTER(Table73[[Fuel Type]:[Default fuel efficiency (L/ 100km)]],Table73[Truck Type]=F8),2,FALSE),'Hidden Lists and Summaries'!$C$157))</f>
        <v>No default, please enter a bespoke value</v>
      </c>
      <c r="W18" s="1382" t="e">
        <f>T18*U8*V8</f>
        <v>#N/A</v>
      </c>
      <c r="X18" s="1383" t="e">
        <f>T18*U8*W8</f>
        <v>#N/A</v>
      </c>
      <c r="Y18" s="783" t="b">
        <f>$E8='Hidden Lists and Summaries'!$B$78</f>
        <v>0</v>
      </c>
      <c r="AC18" s="261"/>
    </row>
    <row r="19" spans="2:29" ht="15.5" x14ac:dyDescent="0.25">
      <c r="B19" s="1095"/>
      <c r="C19" s="37" t="s">
        <v>657</v>
      </c>
      <c r="D19" s="37"/>
      <c r="E19" s="1412"/>
      <c r="F19" s="366"/>
      <c r="G19" s="366"/>
      <c r="H19" s="1424"/>
      <c r="I19" s="1098"/>
      <c r="J19" s="1096"/>
      <c r="K19" s="1096"/>
      <c r="L19" s="1096"/>
      <c r="M19" s="1096"/>
      <c r="N19" s="1384"/>
      <c r="O19" s="1304">
        <f>IFERROR(IF($Y19=TRUE,W19,0),'Hidden Lists and Summaries'!$C$158)</f>
        <v>0</v>
      </c>
      <c r="P19" s="1385">
        <f>IFERROR(IF($Y19=TRUE,X19,0),'Hidden Lists and Summaries'!$C$158)</f>
        <v>0</v>
      </c>
      <c r="Q19" s="1099"/>
      <c r="T19" s="530" t="e" cm="1">
        <f t="array" ref="T19">_xlfn.IFS($E19='Hidden Lists and Summaries'!$B$82,$F19,$E19='Hidden Lists and Summaries'!$B$83,U19*V19*100/1000)</f>
        <v>#N/A</v>
      </c>
      <c r="U19" s="227">
        <f>G19</f>
        <v>0</v>
      </c>
      <c r="V19" s="227" t="str" cm="1">
        <f t="array" ref="V19">IF(H19&lt;&gt;"",H19,IFERROR(VLOOKUP(G9,_xlfn._xlws.FILTER(Table73[[Fuel Type]:[Default fuel efficiency (L/ 100km)]],Table73[Truck Type]=F9),2,FALSE),'Hidden Lists and Summaries'!$C$157))</f>
        <v>No default, please enter a bespoke value</v>
      </c>
      <c r="W19" s="227" t="e">
        <f>T19*V9*W9</f>
        <v>#N/A</v>
      </c>
      <c r="X19" s="1386" t="e">
        <f t="shared" ref="X19:X21" si="1">T19*U9*W9</f>
        <v>#N/A</v>
      </c>
      <c r="Y19" s="784" t="b">
        <f>$E9='Hidden Lists and Summaries'!$B$78</f>
        <v>0</v>
      </c>
      <c r="AC19" s="261"/>
    </row>
    <row r="20" spans="2:29" ht="15.5" x14ac:dyDescent="0.25">
      <c r="B20" s="1095"/>
      <c r="C20" s="37" t="s">
        <v>658</v>
      </c>
      <c r="D20" s="37"/>
      <c r="E20" s="1412"/>
      <c r="F20" s="366"/>
      <c r="G20" s="366"/>
      <c r="H20" s="1424"/>
      <c r="I20" s="1098"/>
      <c r="J20" s="1096"/>
      <c r="K20" s="1096"/>
      <c r="L20" s="1096"/>
      <c r="M20" s="1096"/>
      <c r="N20" s="1384"/>
      <c r="O20" s="1304">
        <f>IFERROR(IF($Y20=TRUE,W20,0),'Hidden Lists and Summaries'!$C$158)</f>
        <v>0</v>
      </c>
      <c r="P20" s="1385">
        <f>IFERROR(IF($Y20=TRUE,X20,0),'Hidden Lists and Summaries'!$C$158)</f>
        <v>0</v>
      </c>
      <c r="Q20" s="1099"/>
      <c r="T20" s="530" t="e" cm="1">
        <f t="array" ref="T20">_xlfn.IFS($E20='Hidden Lists and Summaries'!$B$82,$F20,$E20='Hidden Lists and Summaries'!$B$83,U20*V20*100/1000)</f>
        <v>#N/A</v>
      </c>
      <c r="U20" s="227">
        <f>G20</f>
        <v>0</v>
      </c>
      <c r="V20" s="227" t="str" cm="1">
        <f t="array" ref="V20">IF(H20&lt;&gt;"",H20,IFERROR(VLOOKUP(G10,_xlfn._xlws.FILTER(Table73[[Fuel Type]:[Default fuel efficiency (L/ 100km)]],Table73[Truck Type]=F10),2,FALSE),'Hidden Lists and Summaries'!$C$157))</f>
        <v>No default, please enter a bespoke value</v>
      </c>
      <c r="W20" s="227" t="e">
        <f>T20*V10*W10</f>
        <v>#N/A</v>
      </c>
      <c r="X20" s="1386" t="e">
        <f t="shared" si="1"/>
        <v>#N/A</v>
      </c>
      <c r="Y20" s="784" t="b">
        <f>$E10='Hidden Lists and Summaries'!$B$78</f>
        <v>0</v>
      </c>
      <c r="AC20" s="261"/>
    </row>
    <row r="21" spans="2:29" ht="15.5" x14ac:dyDescent="0.25">
      <c r="B21" s="1095"/>
      <c r="C21" s="37" t="s">
        <v>659</v>
      </c>
      <c r="D21" s="37"/>
      <c r="E21" s="1419"/>
      <c r="F21" s="371"/>
      <c r="G21" s="1420"/>
      <c r="H21" s="1425"/>
      <c r="I21" s="1098"/>
      <c r="J21" s="1096"/>
      <c r="K21" s="1096"/>
      <c r="L21" s="1096"/>
      <c r="M21" s="1096"/>
      <c r="N21" s="1384"/>
      <c r="O21" s="1304">
        <f>IFERROR(IF($Y21=TRUE,W21,0),'Hidden Lists and Summaries'!$C$158)</f>
        <v>0</v>
      </c>
      <c r="P21" s="1385">
        <f>IFERROR(IF($Y21=TRUE,X21,0),'Hidden Lists and Summaries'!$C$158)</f>
        <v>0</v>
      </c>
      <c r="Q21" s="1099"/>
      <c r="T21" s="1387" t="e" cm="1">
        <f t="array" ref="T21">_xlfn.IFS($E21='Hidden Lists and Summaries'!$B$82,$F21,$E21='Hidden Lists and Summaries'!$B$83,U21*V21*100/1000)</f>
        <v>#N/A</v>
      </c>
      <c r="U21" s="1388">
        <f>G21</f>
        <v>0</v>
      </c>
      <c r="V21" s="1388" t="str" cm="1">
        <f t="array" ref="V21">IF(H21&lt;&gt;"",H21,IFERROR(VLOOKUP(G11,_xlfn._xlws.FILTER(Table73[[Fuel Type]:[Default fuel efficiency (L/ 100km)]],Table73[Truck Type]=F11),2,FALSE),'Hidden Lists and Summaries'!$C$157))</f>
        <v>No default, please enter a bespoke value</v>
      </c>
      <c r="W21" s="1388" t="e">
        <f>T21*V11*W11</f>
        <v>#N/A</v>
      </c>
      <c r="X21" s="1389" t="e">
        <f t="shared" si="1"/>
        <v>#N/A</v>
      </c>
      <c r="Y21" s="785" t="b">
        <f>$E11='Hidden Lists and Summaries'!$B$78</f>
        <v>0</v>
      </c>
      <c r="AC21" s="261"/>
    </row>
    <row r="22" spans="2:29" ht="13" x14ac:dyDescent="0.25">
      <c r="B22" s="1105"/>
      <c r="C22" s="1106"/>
      <c r="D22" s="1106"/>
      <c r="E22" s="1106"/>
      <c r="F22" s="1106"/>
      <c r="G22" s="1106"/>
      <c r="H22" s="1106"/>
      <c r="I22" s="1106"/>
      <c r="J22" s="1106"/>
      <c r="K22" s="1106"/>
      <c r="L22" s="1106"/>
      <c r="M22" s="1106"/>
      <c r="N22" s="1390" t="s">
        <v>120</v>
      </c>
      <c r="O22" s="1391">
        <f>SUM(O18:O21)</f>
        <v>0</v>
      </c>
      <c r="P22" s="1392">
        <f>SUM(P18:P21)</f>
        <v>0</v>
      </c>
      <c r="Q22" s="1107"/>
      <c r="T22" s="263"/>
      <c r="AC22" s="261"/>
    </row>
    <row r="23" spans="2:29" ht="12.5" x14ac:dyDescent="0.25">
      <c r="T23" s="263"/>
      <c r="AC23" s="261"/>
    </row>
    <row r="24" spans="2:29" ht="12.5" x14ac:dyDescent="0.25">
      <c r="B24" s="1081"/>
      <c r="C24" s="1082"/>
      <c r="D24" s="1082"/>
      <c r="E24" s="1082"/>
      <c r="F24" s="1082"/>
      <c r="G24" s="1082"/>
      <c r="H24" s="1082"/>
      <c r="I24" s="1082"/>
      <c r="J24" s="1082"/>
      <c r="K24" s="1082"/>
      <c r="L24" s="1082"/>
      <c r="M24" s="1082"/>
      <c r="N24" s="1082"/>
      <c r="O24" s="1082"/>
      <c r="P24" s="1082"/>
      <c r="Q24" s="1083"/>
      <c r="T24" s="263"/>
      <c r="AC24" s="261"/>
    </row>
    <row r="25" spans="2:29" ht="15.5" x14ac:dyDescent="0.25">
      <c r="B25" s="1084"/>
      <c r="C25" s="1109" t="s">
        <v>672</v>
      </c>
      <c r="D25" s="1086"/>
      <c r="E25" s="1086"/>
      <c r="F25" s="1086"/>
      <c r="G25" s="1086"/>
      <c r="H25" s="1086"/>
      <c r="I25" s="1086"/>
      <c r="J25" s="1086"/>
      <c r="K25" s="1086"/>
      <c r="L25" s="1086"/>
      <c r="M25" s="1086"/>
      <c r="N25" s="1086"/>
      <c r="O25" s="1086"/>
      <c r="P25" s="1086"/>
      <c r="Q25" s="1087"/>
      <c r="T25" s="263"/>
      <c r="AC25" s="261"/>
    </row>
    <row r="26" spans="2:29" ht="15.5" x14ac:dyDescent="0.25">
      <c r="B26" s="1089"/>
      <c r="C26" s="1090"/>
      <c r="D26" s="1090"/>
      <c r="E26" s="1091" t="s">
        <v>661</v>
      </c>
      <c r="F26" s="1091" t="s">
        <v>673</v>
      </c>
      <c r="G26" s="1091" t="s">
        <v>663</v>
      </c>
      <c r="H26" s="1091" t="s">
        <v>674</v>
      </c>
      <c r="I26" s="1253" t="s">
        <v>675</v>
      </c>
      <c r="J26" s="1253" t="s">
        <v>871</v>
      </c>
      <c r="K26" s="1090"/>
      <c r="L26" s="1090"/>
      <c r="M26" s="1090"/>
      <c r="N26" s="1090"/>
      <c r="O26" s="1377" t="s">
        <v>665</v>
      </c>
      <c r="P26" s="1377" t="s">
        <v>257</v>
      </c>
      <c r="Q26" s="1094"/>
      <c r="T26" s="263"/>
      <c r="AC26" s="261"/>
    </row>
    <row r="27" spans="2:29" ht="15.5" x14ac:dyDescent="0.25">
      <c r="B27" s="1095"/>
      <c r="C27" s="1096"/>
      <c r="D27" s="1096"/>
      <c r="E27" s="1096"/>
      <c r="F27" s="1096"/>
      <c r="G27" s="1096"/>
      <c r="H27" s="1096"/>
      <c r="I27" s="1098"/>
      <c r="J27" s="1098"/>
      <c r="K27" s="1096"/>
      <c r="L27" s="1096"/>
      <c r="M27" s="1096"/>
      <c r="N27" s="1096"/>
      <c r="O27" s="1096"/>
      <c r="P27" s="1096"/>
      <c r="Q27" s="1099"/>
      <c r="T27" s="1299" t="s">
        <v>677</v>
      </c>
      <c r="U27" s="1299" t="s">
        <v>674</v>
      </c>
      <c r="V27" s="1299" t="s">
        <v>678</v>
      </c>
      <c r="W27" s="1299" t="s">
        <v>679</v>
      </c>
      <c r="X27" s="1299" t="s">
        <v>872</v>
      </c>
      <c r="Y27" s="1299" t="s">
        <v>668</v>
      </c>
      <c r="Z27" s="1299" t="s">
        <v>669</v>
      </c>
      <c r="AA27" s="1299" t="s">
        <v>670</v>
      </c>
      <c r="AC27" s="261"/>
    </row>
    <row r="28" spans="2:29" ht="15.5" x14ac:dyDescent="0.25">
      <c r="B28" s="1095"/>
      <c r="C28" s="37" t="s">
        <v>653</v>
      </c>
      <c r="D28" s="37"/>
      <c r="E28" s="1409"/>
      <c r="F28" s="1426"/>
      <c r="G28" s="362"/>
      <c r="H28" s="362"/>
      <c r="I28" s="362"/>
      <c r="J28" s="1423"/>
      <c r="K28" s="1096"/>
      <c r="L28" s="1096"/>
      <c r="M28" s="1096"/>
      <c r="N28" s="1378"/>
      <c r="O28" s="1393">
        <f>IFERROR(IF(AA28=TRUE,$Y28,0),'Hidden Lists and Summaries'!$C$158)</f>
        <v>0</v>
      </c>
      <c r="P28" s="1394">
        <f>IFERROR(IF($AA28=TRUE, $Z28, 0),'Hidden Lists and Summaries'!$C$158)</f>
        <v>0</v>
      </c>
      <c r="Q28" s="1099"/>
      <c r="T28" s="1381">
        <f>$G28</f>
        <v>0</v>
      </c>
      <c r="U28" s="1382">
        <f>$H28</f>
        <v>0</v>
      </c>
      <c r="V28" s="790">
        <f>$F28</f>
        <v>0</v>
      </c>
      <c r="W28" s="790" t="e" cm="1">
        <f t="array" ref="W28">_xlfn.IFS(($E28='Hidden Lists and Summaries'!$B$87) * ($I28&lt;&gt;""),$I28,$E28='Hidden Lists and Summaries'!$B$87,VLOOKUP($F8,Transport_Distance_Based_Emission_Factors_Table[],2,FALSE), $E28='Hidden Lists and Summaries'!$B$86,$U28*$U8/1000*$V8)</f>
        <v>#N/A</v>
      </c>
      <c r="X28" s="790" t="e" cm="1">
        <f t="array" ref="X28">_xlfn.IFS(($E28='Hidden Lists and Summaries'!$B$87)*($J28&lt;&gt;""),$J28,$E28='Hidden Lists and Summaries'!$B$87,VLOOKUP($F8,Transport_Distance_Based_Emission_Factors_Table[],3,FALSE), $E28='Hidden Lists and Summaries'!$B$86,$U28*$U8/1000*$W8)</f>
        <v>#N/A</v>
      </c>
      <c r="Y28" s="1382" t="e">
        <f>$W28*$T28*$V28</f>
        <v>#N/A</v>
      </c>
      <c r="Z28" s="1383" t="e">
        <f>$X28*$T28*$V28</f>
        <v>#N/A</v>
      </c>
      <c r="AA28" s="783" t="b">
        <f>$E8='Hidden Lists and Summaries'!$B$79</f>
        <v>0</v>
      </c>
      <c r="AC28" s="261"/>
    </row>
    <row r="29" spans="2:29" ht="15.5" x14ac:dyDescent="0.25">
      <c r="B29" s="1095"/>
      <c r="C29" s="37" t="s">
        <v>657</v>
      </c>
      <c r="D29" s="37"/>
      <c r="E29" s="1412"/>
      <c r="F29" s="1427"/>
      <c r="G29" s="366"/>
      <c r="H29" s="366"/>
      <c r="I29" s="366"/>
      <c r="J29" s="1424"/>
      <c r="K29" s="1096"/>
      <c r="L29" s="1096"/>
      <c r="M29" s="1096"/>
      <c r="N29" s="1384"/>
      <c r="O29" s="1304">
        <f>IFERROR(IF(AA29=TRUE,$Y29,0),'Hidden Lists and Summaries'!$C$158)</f>
        <v>0</v>
      </c>
      <c r="P29" s="1385">
        <f>IFERROR(IF($AA29=TRUE, $Z29, 0),'Hidden Lists and Summaries'!$C$158)</f>
        <v>0</v>
      </c>
      <c r="Q29" s="1099"/>
      <c r="T29" s="530">
        <f>$G29</f>
        <v>0</v>
      </c>
      <c r="U29" s="227">
        <f>$H29</f>
        <v>0</v>
      </c>
      <c r="V29">
        <f>$F29</f>
        <v>0</v>
      </c>
      <c r="W29" t="e" cm="1">
        <f t="array" ref="W29">_xlfn.IFS(($E29='Hidden Lists and Summaries'!$B$87) * ($I29&lt;&gt;""),$I29,$E29='Hidden Lists and Summaries'!$B$87,VLOOKUP($F9,Transport_Distance_Based_Emission_Factors_Table[],2,FALSE), $E29='Hidden Lists and Summaries'!$B$86,$U29*$U9/1000*$V9)</f>
        <v>#N/A</v>
      </c>
      <c r="X29" t="e" cm="1">
        <f t="array" ref="X29">_xlfn.IFS($E29='Hidden Lists and Summaries'!$B$87,VLOOKUP($F9,Transport_Distance_Based_Emission_Factors_Table[],3,FALSE), $E29='Hidden Lists and Summaries'!$B$86,$U29*$U9/1000*$W9)</f>
        <v>#N/A</v>
      </c>
      <c r="Y29" s="227" t="e">
        <f t="shared" ref="Y29:Y31" si="2">$W29*$T29*$V29</f>
        <v>#N/A</v>
      </c>
      <c r="Z29" s="1386" t="e">
        <f t="shared" ref="Z29:Z31" si="3">$X29*$T29*$V29</f>
        <v>#N/A</v>
      </c>
      <c r="AA29" s="784" t="b">
        <f>$E9='Hidden Lists and Summaries'!$B$79</f>
        <v>0</v>
      </c>
      <c r="AC29" s="261"/>
    </row>
    <row r="30" spans="2:29" ht="15.5" x14ac:dyDescent="0.25">
      <c r="B30" s="1095"/>
      <c r="C30" s="37" t="s">
        <v>658</v>
      </c>
      <c r="D30" s="37"/>
      <c r="E30" s="1412"/>
      <c r="F30" s="1428"/>
      <c r="G30" s="366"/>
      <c r="H30" s="366"/>
      <c r="I30" s="366"/>
      <c r="J30" s="1424"/>
      <c r="K30" s="1096"/>
      <c r="L30" s="1096"/>
      <c r="M30" s="1096"/>
      <c r="N30" s="1384"/>
      <c r="O30" s="1304">
        <f>IFERROR(IF(AA30=TRUE,$Y30,0),'Hidden Lists and Summaries'!$C$158)</f>
        <v>0</v>
      </c>
      <c r="P30" s="1385">
        <f>IFERROR(IF($AA30=TRUE, $Z30, 0),'Hidden Lists and Summaries'!$C$158)</f>
        <v>0</v>
      </c>
      <c r="Q30" s="1099"/>
      <c r="T30" s="530">
        <f>$G30</f>
        <v>0</v>
      </c>
      <c r="U30" s="227">
        <f>$H30</f>
        <v>0</v>
      </c>
      <c r="V30">
        <f>$F30</f>
        <v>0</v>
      </c>
      <c r="W30" t="e" cm="1">
        <f t="array" ref="W30">_xlfn.IFS(($E30='Hidden Lists and Summaries'!$B$87) * ($I30&lt;&gt;""),$I30,$E30='Hidden Lists and Summaries'!$B$87,VLOOKUP($F10,Transport_Distance_Based_Emission_Factors_Table[],2,FALSE), $E30='Hidden Lists and Summaries'!$B$86,$U30*$U10/1000*$V10)</f>
        <v>#N/A</v>
      </c>
      <c r="X30" t="e" cm="1">
        <f t="array" ref="X30">_xlfn.IFS($E30='Hidden Lists and Summaries'!$B$87,VLOOKUP($F10,Transport_Distance_Based_Emission_Factors_Table[],3,FALSE), $E30='Hidden Lists and Summaries'!$B$86,$U30*$U10/1000*$W10)</f>
        <v>#N/A</v>
      </c>
      <c r="Y30" s="227" t="e">
        <f t="shared" si="2"/>
        <v>#N/A</v>
      </c>
      <c r="Z30" s="1386" t="e">
        <f t="shared" si="3"/>
        <v>#N/A</v>
      </c>
      <c r="AA30" s="784" t="b">
        <f>$E10='Hidden Lists and Summaries'!$B$79</f>
        <v>0</v>
      </c>
      <c r="AC30" s="261"/>
    </row>
    <row r="31" spans="2:29" ht="15.5" x14ac:dyDescent="0.25">
      <c r="B31" s="1095"/>
      <c r="C31" s="37" t="s">
        <v>659</v>
      </c>
      <c r="D31" s="37"/>
      <c r="E31" s="1419"/>
      <c r="F31" s="1429"/>
      <c r="G31" s="1420"/>
      <c r="H31" s="371"/>
      <c r="I31" s="371"/>
      <c r="J31" s="1425"/>
      <c r="K31" s="1096"/>
      <c r="L31" s="1096"/>
      <c r="M31" s="1096"/>
      <c r="N31" s="1384"/>
      <c r="O31" s="1304">
        <f>IFERROR(IF(AA31=TRUE,$Y31,0),'Hidden Lists and Summaries'!$C$158)</f>
        <v>0</v>
      </c>
      <c r="P31" s="1385">
        <f>IFERROR(IF($AA31=TRUE, $Z31, 0),'Hidden Lists and Summaries'!$C$158)</f>
        <v>0</v>
      </c>
      <c r="Q31" s="1099"/>
      <c r="T31" s="1387">
        <f>$G31</f>
        <v>0</v>
      </c>
      <c r="U31" s="1388">
        <f>$H31</f>
        <v>0</v>
      </c>
      <c r="V31" s="322">
        <f>$F31</f>
        <v>0</v>
      </c>
      <c r="W31" s="322" t="e" cm="1">
        <f t="array" ref="W31">_xlfn.IFS(($E31='Hidden Lists and Summaries'!$B$87) * ($I31&lt;&gt;""),$I31,$E31='Hidden Lists and Summaries'!$B$87,VLOOKUP($F11,Transport_Distance_Based_Emission_Factors_Table[],2,FALSE), $E31='Hidden Lists and Summaries'!$B$86,$U31*$U11/1000*$V11)</f>
        <v>#N/A</v>
      </c>
      <c r="X31" s="322" t="e" cm="1">
        <f t="array" ref="X31">_xlfn.IFS($E31='Hidden Lists and Summaries'!$B$87,VLOOKUP($F11,Transport_Distance_Based_Emission_Factors_Table[],3,FALSE), $E31='Hidden Lists and Summaries'!$B$86,$U31*$U11/1000*$W11)</f>
        <v>#N/A</v>
      </c>
      <c r="Y31" s="1388" t="e">
        <f t="shared" si="2"/>
        <v>#N/A</v>
      </c>
      <c r="Z31" s="1389" t="e">
        <f t="shared" si="3"/>
        <v>#N/A</v>
      </c>
      <c r="AA31" s="785" t="b">
        <f>$E11='Hidden Lists and Summaries'!$B$79</f>
        <v>0</v>
      </c>
      <c r="AC31" s="261"/>
    </row>
    <row r="32" spans="2:29" ht="13" x14ac:dyDescent="0.25">
      <c r="B32" s="1105"/>
      <c r="C32" s="1106"/>
      <c r="D32" s="1106"/>
      <c r="E32" s="1106"/>
      <c r="F32" s="1106"/>
      <c r="G32" s="1106"/>
      <c r="H32" s="1106"/>
      <c r="I32" s="1106"/>
      <c r="J32" s="1106"/>
      <c r="K32" s="1106"/>
      <c r="L32" s="1106"/>
      <c r="M32" s="1106"/>
      <c r="N32" s="1390" t="s">
        <v>120</v>
      </c>
      <c r="O32" s="1391">
        <f>SUM(O28:O31)</f>
        <v>0</v>
      </c>
      <c r="P32" s="1392">
        <f>SUM(P28:P31)</f>
        <v>0</v>
      </c>
      <c r="Q32" s="1107"/>
      <c r="T32" s="263"/>
      <c r="AC32" s="261"/>
    </row>
    <row r="33" spans="1:33" ht="12.5" x14ac:dyDescent="0.25">
      <c r="T33" s="263"/>
      <c r="AC33" s="261"/>
    </row>
    <row r="34" spans="1:33" ht="12.5" x14ac:dyDescent="0.25">
      <c r="B34" s="1081"/>
      <c r="C34" s="1082"/>
      <c r="D34" s="1082"/>
      <c r="E34" s="1082"/>
      <c r="F34" s="1082"/>
      <c r="G34" s="1082"/>
      <c r="H34" s="1082"/>
      <c r="I34" s="1082"/>
      <c r="J34" s="1082"/>
      <c r="K34" s="1082"/>
      <c r="L34" s="1082"/>
      <c r="M34" s="1082"/>
      <c r="N34" s="1082"/>
      <c r="O34" s="1082"/>
      <c r="P34" s="1082"/>
      <c r="Q34" s="1083"/>
      <c r="T34" s="263"/>
      <c r="AC34" s="261"/>
    </row>
    <row r="35" spans="1:33" ht="15.5" x14ac:dyDescent="0.25">
      <c r="B35" s="1084"/>
      <c r="C35" s="1109" t="s">
        <v>681</v>
      </c>
      <c r="D35" s="1086"/>
      <c r="E35" s="1086"/>
      <c r="F35" s="1086"/>
      <c r="G35" s="1086"/>
      <c r="H35" s="1086"/>
      <c r="I35" s="1086"/>
      <c r="J35" s="1086"/>
      <c r="K35" s="1086"/>
      <c r="L35" s="1086"/>
      <c r="M35" s="1086"/>
      <c r="N35" s="1086"/>
      <c r="O35" s="1086"/>
      <c r="P35" s="1086"/>
      <c r="Q35" s="1087"/>
      <c r="T35" s="263"/>
      <c r="AC35" s="261"/>
    </row>
    <row r="36" spans="1:33" ht="15.5" x14ac:dyDescent="0.25">
      <c r="B36" s="1089"/>
      <c r="C36" s="1090"/>
      <c r="D36" s="1090"/>
      <c r="E36" s="1091" t="s">
        <v>682</v>
      </c>
      <c r="F36" s="1091" t="s">
        <v>683</v>
      </c>
      <c r="G36" s="1111" t="s">
        <v>673</v>
      </c>
      <c r="H36" s="1091" t="s">
        <v>684</v>
      </c>
      <c r="I36" s="1091" t="s">
        <v>663</v>
      </c>
      <c r="J36" s="1090"/>
      <c r="K36" s="1090"/>
      <c r="L36" s="1090"/>
      <c r="M36" s="1090"/>
      <c r="N36" s="1090"/>
      <c r="O36" s="1377" t="s">
        <v>665</v>
      </c>
      <c r="P36" s="1377" t="s">
        <v>257</v>
      </c>
      <c r="Q36" s="1094"/>
      <c r="T36" s="263"/>
      <c r="AC36" s="261"/>
    </row>
    <row r="37" spans="1:33" ht="15.5" x14ac:dyDescent="0.25">
      <c r="A37" s="261"/>
      <c r="B37" s="1095"/>
      <c r="C37" s="1096"/>
      <c r="D37" s="1096"/>
      <c r="E37" s="1096"/>
      <c r="F37" s="1096"/>
      <c r="G37" s="1098"/>
      <c r="H37" s="1096"/>
      <c r="I37" s="1096"/>
      <c r="J37" s="1096"/>
      <c r="K37" s="1096"/>
      <c r="L37" s="1096"/>
      <c r="M37" s="1096"/>
      <c r="N37" s="1096"/>
      <c r="O37" s="1096"/>
      <c r="P37" s="1096"/>
      <c r="Q37" s="1099"/>
      <c r="T37" s="1299" t="s">
        <v>663</v>
      </c>
      <c r="U37" s="1299" t="s">
        <v>685</v>
      </c>
      <c r="V37" s="1299" t="s">
        <v>686</v>
      </c>
      <c r="W37" s="1299" t="s">
        <v>687</v>
      </c>
      <c r="X37" s="1299" t="s">
        <v>688</v>
      </c>
      <c r="Y37" s="1299" t="s">
        <v>689</v>
      </c>
      <c r="Z37" s="1299" t="s">
        <v>690</v>
      </c>
      <c r="AA37" s="1299" t="s">
        <v>691</v>
      </c>
      <c r="AB37" s="1299" t="s">
        <v>692</v>
      </c>
      <c r="AC37" s="1395" t="s">
        <v>693</v>
      </c>
    </row>
    <row r="38" spans="1:33" ht="15.5" x14ac:dyDescent="0.25">
      <c r="B38" s="1095"/>
      <c r="C38" s="37" t="s">
        <v>653</v>
      </c>
      <c r="D38" s="37"/>
      <c r="E38" s="1409"/>
      <c r="F38" s="1426"/>
      <c r="G38" s="1430"/>
      <c r="H38" s="1431"/>
      <c r="I38" s="1432"/>
      <c r="J38" s="1096"/>
      <c r="K38" s="1096"/>
      <c r="L38" s="1096"/>
      <c r="M38" s="1096"/>
      <c r="N38" s="1182"/>
      <c r="O38" s="1183">
        <f>IFERROR(IF($AC38=TRUE,$X38*Y38,0),'Hidden Lists and Summaries'!$C$158)</f>
        <v>0</v>
      </c>
      <c r="P38" s="1184">
        <f>IFERROR(IF($AC38=TRUE,$X38*Z38,0),'Hidden Lists and Summaries'!$C$158)</f>
        <v>0</v>
      </c>
      <c r="Q38" s="1099"/>
      <c r="T38" s="786" cm="1">
        <f t="array" ref="T38">_xlfn.IFS(($E8='Hidden Lists and Summaries'!$B$78)*($E18='Hidden Lists and Summaries'!$B$83),G18,$E8='Hidden Lists and Summaries'!$B$79,$G28,TRUE,$I38)</f>
        <v>0</v>
      </c>
      <c r="U38" s="790" cm="1">
        <f t="array" ref="U38">_xlfn.IFS(($E8='Hidden Lists and Summaries'!$B$79)*($E28='Hidden Lists and Summaries'!$B$86),$F28,TRUE,$G38)</f>
        <v>0</v>
      </c>
      <c r="V38" s="790">
        <f>F38</f>
        <v>0</v>
      </c>
      <c r="W38" s="1382">
        <f>H38</f>
        <v>0</v>
      </c>
      <c r="X38" s="790" t="e" cm="1">
        <f t="array" ref="X38">_xlfn.IFS($E38='Hidden Lists and Summaries'!$B$143,($V38*$W38)/($T38*$U38),$E38='Hidden Lists and Summaries'!$B$142,$V38/$U38)</f>
        <v>#N/A</v>
      </c>
      <c r="Y38" s="790" t="e" cm="1">
        <f t="array" ref="Y38">_xlfn.IFS($E8='Hidden Lists and Summaries'!$B$78,$O18,$E8='Hidden Lists and Summaries'!$B$79,$O28)</f>
        <v>#N/A</v>
      </c>
      <c r="Z38" s="923" t="e" cm="1">
        <f t="array" ref="Z38">_xlfn.IFS($E8='Hidden Lists and Summaries'!$B$78,$P18,$E8='Hidden Lists and Summaries'!$B$79,$P28)</f>
        <v>#N/A</v>
      </c>
      <c r="AA38" s="786" t="b">
        <f>IF(($E8='Hidden Lists and Summaries'!$B$79)*($E28='Hidden Lists and Summaries'!$B$86) = 1,TRUE,FALSE)</f>
        <v>0</v>
      </c>
      <c r="AB38" s="790" t="b" cm="1">
        <f t="array" ref="AB38">_xlfn.IFS(($E8='Hidden Lists and Summaries'!$B$78)*($E18='Hidden Lists and Summaries'!$B$83),TRUE,$E8='Hidden Lists and Summaries'!$B$79,TRUE,TRUE,FALSE)</f>
        <v>0</v>
      </c>
      <c r="AC38" s="1383" t="b">
        <f>SUM($O18:$P18,$O28:$P28)&gt;0</f>
        <v>0</v>
      </c>
      <c r="AG38" s="227"/>
    </row>
    <row r="39" spans="1:33" ht="15.5" x14ac:dyDescent="0.25">
      <c r="B39" s="1095"/>
      <c r="C39" s="37" t="s">
        <v>657</v>
      </c>
      <c r="D39" s="37"/>
      <c r="E39" s="1412"/>
      <c r="F39" s="1427"/>
      <c r="G39" s="1433"/>
      <c r="H39" s="1434"/>
      <c r="I39" s="1435"/>
      <c r="J39" s="1096"/>
      <c r="K39" s="1096"/>
      <c r="L39" s="1096"/>
      <c r="M39" s="1096"/>
      <c r="N39" s="1130"/>
      <c r="O39" s="1131">
        <f>IFERROR(IF($AC39=TRUE,$X39*Y39,0),'Hidden Lists and Summaries'!$C$158)</f>
        <v>0</v>
      </c>
      <c r="P39" s="1132">
        <f>IFERROR(IF($AC39=TRUE,$X39*Z39,0),'Hidden Lists and Summaries'!$C$158)</f>
        <v>0</v>
      </c>
      <c r="Q39" s="1099"/>
      <c r="T39" s="263" cm="1">
        <f t="array" ref="T39">_xlfn.IFS(($E9='Hidden Lists and Summaries'!$B$78)*($E19='Hidden Lists and Summaries'!$B$83),G19,$E9='Hidden Lists and Summaries'!$B$79,$G29,TRUE,$I39)</f>
        <v>0</v>
      </c>
      <c r="U39" cm="1">
        <f t="array" ref="U39">_xlfn.IFS(($E9='Hidden Lists and Summaries'!$B$79)*($E29='Hidden Lists and Summaries'!$B$86),$F29,TRUE,$G39)</f>
        <v>0</v>
      </c>
      <c r="V39">
        <f>F39</f>
        <v>0</v>
      </c>
      <c r="W39" s="227">
        <f>H39</f>
        <v>0</v>
      </c>
      <c r="X39" t="e" cm="1">
        <f t="array" ref="X39">_xlfn.IFS($E39='Hidden Lists and Summaries'!$B$143,($V39*$W39)/($T39*$U39),$E39='Hidden Lists and Summaries'!$B$142,$V39/$U39)</f>
        <v>#N/A</v>
      </c>
      <c r="Y39" t="e" cm="1">
        <f t="array" ref="Y39">_xlfn.IFS($E9='Hidden Lists and Summaries'!$B$78,$O19,$E9='Hidden Lists and Summaries'!$B$79,$O29)</f>
        <v>#N/A</v>
      </c>
      <c r="Z39" s="261" t="e" cm="1">
        <f t="array" ref="Z39">_xlfn.IFS($E9='Hidden Lists and Summaries'!$B$78,$P19,$E9='Hidden Lists and Summaries'!$B$79,$P29)</f>
        <v>#N/A</v>
      </c>
      <c r="AA39" s="263" t="b">
        <f>IF(($E9='Hidden Lists and Summaries'!$B$79)*($E29='Hidden Lists and Summaries'!$B$86) = 1,TRUE,FALSE)</f>
        <v>0</v>
      </c>
      <c r="AB39" t="b" cm="1">
        <f t="array" ref="AB39">_xlfn.IFS(($E9='Hidden Lists and Summaries'!$B$78)*($E19='Hidden Lists and Summaries'!$B$83),TRUE,$E9='Hidden Lists and Summaries'!$B$79,TRUE,TRUE,FALSE)</f>
        <v>0</v>
      </c>
      <c r="AC39" s="1386" t="b">
        <f>SUM($O19:$P19,$O29:$P29)&gt;0</f>
        <v>0</v>
      </c>
    </row>
    <row r="40" spans="1:33" ht="15.5" x14ac:dyDescent="0.25">
      <c r="B40" s="1095"/>
      <c r="C40" s="37" t="s">
        <v>658</v>
      </c>
      <c r="D40" s="37"/>
      <c r="E40" s="1412"/>
      <c r="F40" s="1428"/>
      <c r="G40" s="1433"/>
      <c r="H40" s="1436"/>
      <c r="I40" s="1437"/>
      <c r="J40" s="1096"/>
      <c r="K40" s="1096"/>
      <c r="L40" s="1096"/>
      <c r="M40" s="1096"/>
      <c r="N40" s="1130"/>
      <c r="O40" s="1131">
        <f>IFERROR(IF($AC40=TRUE,$X40*Y40,0),'Hidden Lists and Summaries'!$C$158)</f>
        <v>0</v>
      </c>
      <c r="P40" s="1132">
        <f>IFERROR(IF($AC40=TRUE,$X40*Z40,0),'Hidden Lists and Summaries'!$C$158)</f>
        <v>0</v>
      </c>
      <c r="Q40" s="1099"/>
      <c r="T40" s="263" cm="1">
        <f t="array" ref="T40">_xlfn.IFS(($E10='Hidden Lists and Summaries'!$B$78)*($E20='Hidden Lists and Summaries'!$B$83),G20,$E10='Hidden Lists and Summaries'!$B$79,$G30,TRUE,$I40)</f>
        <v>0</v>
      </c>
      <c r="U40" cm="1">
        <f t="array" ref="U40">_xlfn.IFS(($E10='Hidden Lists and Summaries'!$B$79)*($E30='Hidden Lists and Summaries'!$B$86),$F30,TRUE,$G40)</f>
        <v>0</v>
      </c>
      <c r="V40">
        <f>F40</f>
        <v>0</v>
      </c>
      <c r="W40" s="227">
        <f>H40</f>
        <v>0</v>
      </c>
      <c r="X40" t="e" cm="1">
        <f t="array" ref="X40">_xlfn.IFS($E40='Hidden Lists and Summaries'!$B$143,($V40*$W40)/($T40*$U40),$E40='Hidden Lists and Summaries'!$B$142,$V40/$U40)</f>
        <v>#N/A</v>
      </c>
      <c r="Y40" t="e" cm="1">
        <f t="array" ref="Y40">_xlfn.IFS($E10='Hidden Lists and Summaries'!$B$78,$O20,$E10='Hidden Lists and Summaries'!$B$79,$O30)</f>
        <v>#N/A</v>
      </c>
      <c r="Z40" s="261" t="e" cm="1">
        <f t="array" ref="Z40">_xlfn.IFS($E10='Hidden Lists and Summaries'!$B$78,$P20,$E10='Hidden Lists and Summaries'!$B$79,$P30)</f>
        <v>#N/A</v>
      </c>
      <c r="AA40" s="263" t="b">
        <f>IF(($E10='Hidden Lists and Summaries'!$B$79)*($E30='Hidden Lists and Summaries'!$B$86) = 1,TRUE,FALSE)</f>
        <v>0</v>
      </c>
      <c r="AB40" t="b" cm="1">
        <f t="array" ref="AB40">_xlfn.IFS(($E10='Hidden Lists and Summaries'!$B$78)*($E20='Hidden Lists and Summaries'!$B$83),TRUE,$E10='Hidden Lists and Summaries'!$B$79,TRUE,TRUE,FALSE)</f>
        <v>0</v>
      </c>
      <c r="AC40" s="1386" t="b">
        <f>SUM($O20:$P20,$O30:$P30)&gt;0</f>
        <v>0</v>
      </c>
    </row>
    <row r="41" spans="1:33" ht="15.5" x14ac:dyDescent="0.25">
      <c r="B41" s="1095"/>
      <c r="C41" s="37" t="s">
        <v>659</v>
      </c>
      <c r="D41" s="37"/>
      <c r="E41" s="1419"/>
      <c r="F41" s="1429"/>
      <c r="G41" s="1438"/>
      <c r="H41" s="1439"/>
      <c r="I41" s="1440"/>
      <c r="J41" s="1096"/>
      <c r="K41" s="1096"/>
      <c r="L41" s="1096"/>
      <c r="M41" s="1096"/>
      <c r="N41" s="1130"/>
      <c r="O41" s="1131">
        <f>IFERROR(IF($AC41=TRUE,$X41*Y41,0),'Hidden Lists and Summaries'!$C$158)</f>
        <v>0</v>
      </c>
      <c r="P41" s="1132">
        <f>IFERROR(IF($AC41=TRUE,$X41*Z41,0),'Hidden Lists and Summaries'!$C$158)</f>
        <v>0</v>
      </c>
      <c r="Q41" s="1099"/>
      <c r="T41" s="321" cm="1">
        <f t="array" ref="T41">_xlfn.IFS(($E11='Hidden Lists and Summaries'!$B$78)*($E21='Hidden Lists and Summaries'!$B$83),G21,$E11='Hidden Lists and Summaries'!$B$79,$G31,TRUE,$I41)</f>
        <v>0</v>
      </c>
      <c r="U41" s="322" cm="1">
        <f t="array" ref="U41">_xlfn.IFS(($E11='Hidden Lists and Summaries'!$B$79)*($E31='Hidden Lists and Summaries'!$B$86),$F31,TRUE,$G41)</f>
        <v>0</v>
      </c>
      <c r="V41" s="322">
        <f>F41</f>
        <v>0</v>
      </c>
      <c r="W41" s="1388">
        <f>H41</f>
        <v>0</v>
      </c>
      <c r="X41" s="322" t="e" cm="1">
        <f t="array" ref="X41">_xlfn.IFS($E41='Hidden Lists and Summaries'!$B$143,($V41*$W41)/($T41*$U41),$E41='Hidden Lists and Summaries'!$B$142,$V41/$U41)</f>
        <v>#N/A</v>
      </c>
      <c r="Y41" s="322" t="e" cm="1">
        <f t="array" ref="Y41">_xlfn.IFS($E11='Hidden Lists and Summaries'!$B$78,$O21,$E11='Hidden Lists and Summaries'!$B$79,$O31)</f>
        <v>#N/A</v>
      </c>
      <c r="Z41" s="924" t="e" cm="1">
        <f t="array" ref="Z41">_xlfn.IFS($E11='Hidden Lists and Summaries'!$B$78,$P21,$E11='Hidden Lists and Summaries'!$B$79,$P31)</f>
        <v>#N/A</v>
      </c>
      <c r="AA41" s="321" t="b">
        <f>IF(($E11='Hidden Lists and Summaries'!$B$79)*($E31='Hidden Lists and Summaries'!$B$86) = 1,TRUE,FALSE)</f>
        <v>0</v>
      </c>
      <c r="AB41" s="322" t="b" cm="1">
        <f t="array" ref="AB41">_xlfn.IFS(($E11='Hidden Lists and Summaries'!$B$78)*($E21='Hidden Lists and Summaries'!$B$83),TRUE,$E11='Hidden Lists and Summaries'!$B$79,TRUE,TRUE,FALSE)</f>
        <v>0</v>
      </c>
      <c r="AC41" s="1389" t="b">
        <f>SUM($O21:$P21,$O31:$P31)&gt;0</f>
        <v>0</v>
      </c>
    </row>
    <row r="42" spans="1:33" ht="13" x14ac:dyDescent="0.25">
      <c r="B42" s="39"/>
      <c r="C42" s="1375"/>
      <c r="D42" s="1375"/>
      <c r="E42" s="1375"/>
      <c r="F42" s="1375"/>
      <c r="G42" s="1375"/>
      <c r="H42" s="1375"/>
      <c r="I42" s="1375"/>
      <c r="J42" s="1375"/>
      <c r="K42" s="1375"/>
      <c r="L42" s="1375"/>
      <c r="M42" s="1375"/>
      <c r="N42" s="1224" t="s">
        <v>120</v>
      </c>
      <c r="O42" s="1396">
        <f>SUM(O38:O41)</f>
        <v>0</v>
      </c>
      <c r="P42" s="1287">
        <f>SUM(P38:P41)</f>
        <v>0</v>
      </c>
      <c r="Q42" s="40"/>
      <c r="T42" s="263"/>
      <c r="AC42" s="261"/>
    </row>
    <row r="43" spans="1:33" ht="12.5" x14ac:dyDescent="0.25">
      <c r="T43" s="263"/>
      <c r="AC43" s="261"/>
    </row>
    <row r="44" spans="1:33" ht="12.5" x14ac:dyDescent="0.25">
      <c r="B44" s="1081"/>
      <c r="C44" s="1082"/>
      <c r="D44" s="1082"/>
      <c r="E44" s="1082"/>
      <c r="F44" s="1082"/>
      <c r="G44" s="1082"/>
      <c r="H44" s="1082"/>
      <c r="I44" s="1082"/>
      <c r="J44" s="1082"/>
      <c r="K44" s="1082"/>
      <c r="L44" s="1082"/>
      <c r="M44" s="1082"/>
      <c r="N44" s="1082"/>
      <c r="O44" s="1082"/>
      <c r="P44" s="1082"/>
      <c r="Q44" s="1083"/>
      <c r="T44" s="263"/>
      <c r="V44" s="227"/>
      <c r="AC44" s="261"/>
    </row>
    <row r="45" spans="1:33" ht="15.5" x14ac:dyDescent="0.25">
      <c r="B45" s="1084"/>
      <c r="C45" s="1109" t="s">
        <v>873</v>
      </c>
      <c r="D45" s="1086"/>
      <c r="E45" s="1086"/>
      <c r="F45" s="1086"/>
      <c r="G45" s="1086"/>
      <c r="H45" s="1086"/>
      <c r="I45" s="1086"/>
      <c r="J45" s="1086"/>
      <c r="K45" s="1086"/>
      <c r="L45" s="1086"/>
      <c r="M45" s="1086"/>
      <c r="N45" s="1086"/>
      <c r="O45" s="1086"/>
      <c r="P45" s="1086"/>
      <c r="Q45" s="1087"/>
      <c r="T45" s="263"/>
      <c r="AC45" s="261"/>
    </row>
    <row r="46" spans="1:33" ht="15.5" x14ac:dyDescent="0.25">
      <c r="B46" s="1089"/>
      <c r="C46" s="1090"/>
      <c r="D46" s="1090"/>
      <c r="E46" s="1091" t="s">
        <v>695</v>
      </c>
      <c r="F46" s="1091" t="s">
        <v>874</v>
      </c>
      <c r="G46" s="1111" t="s">
        <v>875</v>
      </c>
      <c r="H46" s="1111" t="s">
        <v>876</v>
      </c>
      <c r="I46" s="1092"/>
      <c r="J46" s="1092"/>
      <c r="K46" s="1092"/>
      <c r="L46" s="1092"/>
      <c r="M46" s="1090"/>
      <c r="N46" s="1090"/>
      <c r="O46" s="1377" t="s">
        <v>665</v>
      </c>
      <c r="P46" s="1377" t="s">
        <v>257</v>
      </c>
      <c r="Q46" s="1094"/>
      <c r="T46" s="263"/>
      <c r="AC46" s="261"/>
    </row>
    <row r="47" spans="1:33" ht="15.5" x14ac:dyDescent="0.3">
      <c r="B47" s="1095"/>
      <c r="C47" s="264"/>
      <c r="D47" s="37"/>
      <c r="E47" s="1096"/>
      <c r="F47" s="1096"/>
      <c r="G47" s="1098"/>
      <c r="H47" s="1098"/>
      <c r="I47" s="1098"/>
      <c r="J47" s="1098"/>
      <c r="K47" s="1098"/>
      <c r="L47" s="1098"/>
      <c r="M47" s="1096"/>
      <c r="N47" s="1096"/>
      <c r="O47" s="1096"/>
      <c r="P47" s="1096"/>
      <c r="Q47" s="1099"/>
      <c r="T47" s="1299" t="s">
        <v>663</v>
      </c>
      <c r="U47" s="1299" t="s">
        <v>678</v>
      </c>
      <c r="V47" s="1299" t="s">
        <v>875</v>
      </c>
      <c r="W47" s="1299" t="s">
        <v>876</v>
      </c>
      <c r="AC47" s="261"/>
    </row>
    <row r="48" spans="1:33" ht="15.5" x14ac:dyDescent="0.25">
      <c r="B48" s="1095"/>
      <c r="C48" s="37" t="s">
        <v>697</v>
      </c>
      <c r="D48" s="37"/>
      <c r="E48" s="1441"/>
      <c r="F48" s="1426"/>
      <c r="G48" s="362"/>
      <c r="H48" s="1423"/>
      <c r="I48" s="1098"/>
      <c r="J48" s="1098"/>
      <c r="K48" s="1098"/>
      <c r="L48" s="1098"/>
      <c r="M48" s="1096"/>
      <c r="N48" s="1182"/>
      <c r="O48" s="1183">
        <f>T48*V48</f>
        <v>0</v>
      </c>
      <c r="P48" s="1184">
        <f>$T48*$W48</f>
        <v>0</v>
      </c>
      <c r="Q48" s="1099"/>
      <c r="T48" s="1381">
        <f t="shared" ref="T48:W49" si="4">E48</f>
        <v>0</v>
      </c>
      <c r="U48" s="790">
        <f t="shared" si="4"/>
        <v>0</v>
      </c>
      <c r="V48" s="1382">
        <f t="shared" si="4"/>
        <v>0</v>
      </c>
      <c r="W48" s="1383">
        <f t="shared" si="4"/>
        <v>0</v>
      </c>
      <c r="AC48" s="261"/>
    </row>
    <row r="49" spans="1:29" ht="15.5" x14ac:dyDescent="0.25">
      <c r="B49" s="1095"/>
      <c r="C49" s="37" t="s">
        <v>698</v>
      </c>
      <c r="D49" s="37"/>
      <c r="E49" s="1442"/>
      <c r="F49" s="1443"/>
      <c r="G49" s="408"/>
      <c r="H49" s="1444"/>
      <c r="I49" s="1098"/>
      <c r="J49" s="1098"/>
      <c r="K49" s="1098"/>
      <c r="L49" s="1098"/>
      <c r="M49" s="1096"/>
      <c r="N49" s="1130"/>
      <c r="O49" s="1131">
        <f>T49*V49</f>
        <v>0</v>
      </c>
      <c r="P49" s="1132">
        <f>$T49*$W49</f>
        <v>0</v>
      </c>
      <c r="Q49" s="1099"/>
      <c r="T49" s="1387">
        <f t="shared" si="4"/>
        <v>0</v>
      </c>
      <c r="U49" s="322">
        <f t="shared" si="4"/>
        <v>0</v>
      </c>
      <c r="V49" s="1388">
        <f t="shared" si="4"/>
        <v>0</v>
      </c>
      <c r="W49" s="1389">
        <f t="shared" si="4"/>
        <v>0</v>
      </c>
      <c r="AC49" s="261"/>
    </row>
    <row r="50" spans="1:29" ht="13" x14ac:dyDescent="0.25">
      <c r="B50" s="1105"/>
      <c r="C50" s="1106"/>
      <c r="D50" s="1106"/>
      <c r="E50" s="1106"/>
      <c r="F50" s="1106"/>
      <c r="G50" s="1106"/>
      <c r="H50" s="1106"/>
      <c r="I50" s="1106"/>
      <c r="J50" s="1106"/>
      <c r="K50" s="1106"/>
      <c r="L50" s="1106"/>
      <c r="M50" s="1106"/>
      <c r="N50" s="1224" t="s">
        <v>120</v>
      </c>
      <c r="O50" s="1396">
        <f>SUM(O48:O49)</f>
        <v>0</v>
      </c>
      <c r="P50" s="1287">
        <f>SUM(P48:P49)</f>
        <v>0</v>
      </c>
      <c r="Q50" s="1107"/>
      <c r="T50" s="263"/>
      <c r="AC50" s="261"/>
    </row>
    <row r="51" spans="1:29" ht="12.5" x14ac:dyDescent="0.25">
      <c r="T51" s="263"/>
      <c r="AC51" s="261"/>
    </row>
    <row r="52" spans="1:29" ht="12.5" x14ac:dyDescent="0.25">
      <c r="B52" s="1081"/>
      <c r="C52" s="1082"/>
      <c r="D52" s="1082"/>
      <c r="E52" s="1082"/>
      <c r="F52" s="1082"/>
      <c r="G52" s="1082"/>
      <c r="H52" s="1082"/>
      <c r="I52" s="1082"/>
      <c r="J52" s="1082"/>
      <c r="K52" s="1082"/>
      <c r="L52" s="1082"/>
      <c r="M52" s="1082"/>
      <c r="N52" s="1082"/>
      <c r="O52" s="1082"/>
      <c r="P52" s="1082"/>
      <c r="Q52" s="1083"/>
      <c r="T52" s="263"/>
      <c r="AC52" s="261"/>
    </row>
    <row r="53" spans="1:29" ht="15.5" x14ac:dyDescent="0.25">
      <c r="B53" s="1084"/>
      <c r="C53" s="1109" t="s">
        <v>699</v>
      </c>
      <c r="D53" s="1086"/>
      <c r="E53" s="1086"/>
      <c r="F53" s="1086"/>
      <c r="G53" s="1086"/>
      <c r="H53" s="1086"/>
      <c r="I53" s="1086"/>
      <c r="J53" s="1086"/>
      <c r="K53" s="1086"/>
      <c r="L53" s="1086"/>
      <c r="M53" s="1086"/>
      <c r="N53" s="1086"/>
      <c r="O53" s="1086"/>
      <c r="P53" s="1086"/>
      <c r="Q53" s="1087"/>
      <c r="T53" s="263"/>
      <c r="AC53" s="261"/>
    </row>
    <row r="54" spans="1:29" ht="15.5" x14ac:dyDescent="0.25">
      <c r="B54" s="1089"/>
      <c r="C54" s="1090"/>
      <c r="D54" s="1090"/>
      <c r="E54" s="1091" t="s">
        <v>682</v>
      </c>
      <c r="F54" s="1091" t="s">
        <v>701</v>
      </c>
      <c r="G54" s="1091" t="s">
        <v>700</v>
      </c>
      <c r="H54" s="1091" t="s">
        <v>695</v>
      </c>
      <c r="I54" s="1090"/>
      <c r="J54" s="1090"/>
      <c r="K54" s="1090"/>
      <c r="L54" s="1090"/>
      <c r="M54" s="1090"/>
      <c r="N54" s="1090"/>
      <c r="O54" s="1377" t="s">
        <v>665</v>
      </c>
      <c r="P54" s="1377" t="s">
        <v>257</v>
      </c>
      <c r="Q54" s="1094"/>
      <c r="T54" s="263"/>
      <c r="AC54" s="261"/>
    </row>
    <row r="55" spans="1:29" ht="15.5" x14ac:dyDescent="0.3">
      <c r="B55" s="1095"/>
      <c r="C55" s="264"/>
      <c r="D55" s="37"/>
      <c r="E55" s="37"/>
      <c r="F55" s="37"/>
      <c r="G55" s="37"/>
      <c r="H55" s="37"/>
      <c r="I55" s="1096"/>
      <c r="J55" s="1096"/>
      <c r="K55" s="1096"/>
      <c r="L55" s="1096"/>
      <c r="M55" s="1193"/>
      <c r="N55" s="1101"/>
      <c r="O55" s="1097"/>
      <c r="P55" s="1193"/>
      <c r="Q55" s="1099"/>
      <c r="T55" s="1299" t="s">
        <v>663</v>
      </c>
      <c r="U55" s="1299" t="s">
        <v>685</v>
      </c>
      <c r="V55" s="1299" t="s">
        <v>686</v>
      </c>
      <c r="W55" s="1299" t="s">
        <v>687</v>
      </c>
      <c r="X55" s="1299" t="s">
        <v>688</v>
      </c>
      <c r="Y55" s="1299" t="s">
        <v>689</v>
      </c>
      <c r="Z55" s="1299" t="s">
        <v>690</v>
      </c>
      <c r="AA55" s="1299" t="s">
        <v>702</v>
      </c>
      <c r="AC55" s="261"/>
    </row>
    <row r="56" spans="1:29" ht="12.5" x14ac:dyDescent="0.25">
      <c r="B56" s="1095"/>
      <c r="C56" s="37" t="s">
        <v>697</v>
      </c>
      <c r="D56" s="37"/>
      <c r="E56" s="1409"/>
      <c r="F56" s="1426"/>
      <c r="G56" s="1426"/>
      <c r="H56" s="1432"/>
      <c r="I56" s="1096"/>
      <c r="J56" s="1096"/>
      <c r="K56" s="1096"/>
      <c r="L56" s="1096"/>
      <c r="M56" s="1096"/>
      <c r="N56" s="1182"/>
      <c r="O56" s="1131">
        <f>IFERROR(IF($AA56=TRUE,$X56*Y56,0),'Hidden Lists and Summaries'!$C$158)</f>
        <v>0</v>
      </c>
      <c r="P56" s="1184">
        <f>IFERROR(IF($AA56=TRUE,$X56*Z56,0),'Hidden Lists and Summaries'!$C$158)</f>
        <v>0</v>
      </c>
      <c r="Q56" s="1099"/>
      <c r="T56" s="1381">
        <f>E48</f>
        <v>0</v>
      </c>
      <c r="U56" s="1382">
        <f>U48</f>
        <v>0</v>
      </c>
      <c r="V56" s="790">
        <f>F56</f>
        <v>0</v>
      </c>
      <c r="W56" s="1382">
        <f>G56</f>
        <v>0</v>
      </c>
      <c r="X56" s="790" t="e" cm="1">
        <f t="array" ref="X56">_xlfn.IFS($E56='Hidden Lists and Summaries'!$B$143,($V56*$W56)/($T56*$U56),$E56='Hidden Lists and Summaries'!$B$142,$V56/$U56)</f>
        <v>#N/A</v>
      </c>
      <c r="Y56" s="1382">
        <f>O48</f>
        <v>0</v>
      </c>
      <c r="Z56" s="1383">
        <f>P48</f>
        <v>0</v>
      </c>
      <c r="AA56" s="783" t="b">
        <f>SUM($O48:$P48)&gt;0</f>
        <v>0</v>
      </c>
      <c r="AC56" s="261"/>
    </row>
    <row r="57" spans="1:29" ht="12.5" x14ac:dyDescent="0.25">
      <c r="B57" s="1095"/>
      <c r="C57" s="37" t="s">
        <v>698</v>
      </c>
      <c r="D57" s="37"/>
      <c r="E57" s="1445"/>
      <c r="F57" s="1443"/>
      <c r="G57" s="1443"/>
      <c r="H57" s="1446"/>
      <c r="I57" s="1096"/>
      <c r="J57" s="1096"/>
      <c r="K57" s="1096"/>
      <c r="L57" s="1096"/>
      <c r="M57" s="1096"/>
      <c r="N57" s="1130"/>
      <c r="O57" s="1131">
        <f>IFERROR(IF($AA57=TRUE,$X57*Y57,0),'Hidden Lists and Summaries'!$C$158)</f>
        <v>0</v>
      </c>
      <c r="P57" s="1132">
        <f>IFERROR(IF($AA57=TRUE,$X57*Z57,0),'Hidden Lists and Summaries'!$C$158)</f>
        <v>0</v>
      </c>
      <c r="Q57" s="1099"/>
      <c r="T57" s="1387">
        <f>E49</f>
        <v>0</v>
      </c>
      <c r="U57" s="1388">
        <f>U49</f>
        <v>0</v>
      </c>
      <c r="V57" s="322">
        <f>F57</f>
        <v>0</v>
      </c>
      <c r="W57" s="1388">
        <f>G57</f>
        <v>0</v>
      </c>
      <c r="X57" s="322" t="e" cm="1">
        <f t="array" ref="X57">_xlfn.IFS($E57='Hidden Lists and Summaries'!$B$143,($V57*$W57)/($T57*$U57),$E57='Hidden Lists and Summaries'!$B$142,$V57/$U57)</f>
        <v>#N/A</v>
      </c>
      <c r="Y57" s="1388">
        <f>O49</f>
        <v>0</v>
      </c>
      <c r="Z57" s="1389">
        <f>P49</f>
        <v>0</v>
      </c>
      <c r="AA57" s="785" t="b">
        <f>SUM($O49:$P49)&gt;0</f>
        <v>0</v>
      </c>
      <c r="AC57" s="261"/>
    </row>
    <row r="58" spans="1:29" ht="13" x14ac:dyDescent="0.3">
      <c r="B58" s="1105"/>
      <c r="C58" s="1106"/>
      <c r="D58" s="1106"/>
      <c r="E58" s="1106"/>
      <c r="F58" s="1106"/>
      <c r="G58" s="1106"/>
      <c r="H58" s="1106"/>
      <c r="I58" s="1106"/>
      <c r="J58" s="1106"/>
      <c r="K58" s="1106"/>
      <c r="L58" s="1106"/>
      <c r="M58" s="1106"/>
      <c r="N58" s="1397" t="s">
        <v>120</v>
      </c>
      <c r="O58" s="1398">
        <f>SUM(O56:O57)</f>
        <v>0</v>
      </c>
      <c r="P58" s="1399">
        <f>SUM(P56:P57)</f>
        <v>0</v>
      </c>
      <c r="Q58" s="1107"/>
      <c r="T58" s="263"/>
      <c r="AC58" s="261"/>
    </row>
    <row r="59" spans="1:29" ht="12.75" customHeight="1" x14ac:dyDescent="0.25">
      <c r="T59" s="263"/>
      <c r="AC59" s="261"/>
    </row>
    <row r="60" spans="1:29" ht="12.75" customHeight="1" x14ac:dyDescent="0.25">
      <c r="B60" s="1081"/>
      <c r="C60" s="1082"/>
      <c r="D60" s="1082"/>
      <c r="E60" s="1082"/>
      <c r="F60" s="1082"/>
      <c r="G60" s="1082"/>
      <c r="H60" s="1082"/>
      <c r="I60" s="1082"/>
      <c r="J60" s="1082"/>
      <c r="K60" s="1082"/>
      <c r="L60" s="1082"/>
      <c r="M60" s="1082"/>
      <c r="N60" s="1082"/>
      <c r="O60" s="1082"/>
      <c r="P60" s="1082"/>
      <c r="Q60" s="1083"/>
      <c r="T60" s="263"/>
      <c r="AC60" s="261"/>
    </row>
    <row r="61" spans="1:29" ht="12.75" customHeight="1" x14ac:dyDescent="0.25">
      <c r="B61" s="1084"/>
      <c r="C61" s="1109" t="s">
        <v>703</v>
      </c>
      <c r="D61" s="1086"/>
      <c r="E61" s="1086"/>
      <c r="F61" s="1086"/>
      <c r="G61" s="1086"/>
      <c r="H61" s="1086"/>
      <c r="I61" s="1086"/>
      <c r="J61" s="1086"/>
      <c r="K61" s="1086"/>
      <c r="L61" s="1086"/>
      <c r="M61" s="1086"/>
      <c r="N61" s="1086"/>
      <c r="O61" s="1086"/>
      <c r="P61" s="1086"/>
      <c r="Q61" s="1087"/>
      <c r="T61" s="263"/>
      <c r="AC61" s="261"/>
    </row>
    <row r="62" spans="1:29" ht="12.75" customHeight="1" x14ac:dyDescent="0.25">
      <c r="B62" s="1089"/>
      <c r="C62" s="1090"/>
      <c r="D62" s="1090"/>
      <c r="E62" s="1091" t="s">
        <v>704</v>
      </c>
      <c r="F62" s="1091" t="s">
        <v>705</v>
      </c>
      <c r="G62" s="1111" t="s">
        <v>706</v>
      </c>
      <c r="H62" s="1091" t="s">
        <v>707</v>
      </c>
      <c r="I62" s="1090"/>
      <c r="J62" s="1090"/>
      <c r="K62" s="1090"/>
      <c r="L62" s="1090"/>
      <c r="M62" s="1090"/>
      <c r="N62" s="1090"/>
      <c r="O62" s="1377"/>
      <c r="P62" s="1377"/>
      <c r="Q62" s="1094"/>
      <c r="T62" s="263"/>
      <c r="AC62" s="261"/>
    </row>
    <row r="63" spans="1:29" ht="12.75" customHeight="1" x14ac:dyDescent="0.25">
      <c r="A63" s="261"/>
      <c r="B63" s="1096"/>
      <c r="C63" s="1096"/>
      <c r="D63" s="1096"/>
      <c r="E63" s="1096"/>
      <c r="F63" s="1096"/>
      <c r="G63" s="1096"/>
      <c r="H63" s="1096"/>
      <c r="I63" s="1096"/>
      <c r="J63" s="1096"/>
      <c r="K63" s="1096"/>
      <c r="L63" s="1096"/>
      <c r="M63" s="1096"/>
      <c r="N63" s="1096"/>
      <c r="O63" s="1096"/>
      <c r="P63" s="1096"/>
      <c r="Q63" s="1195"/>
      <c r="T63" s="1299" t="s">
        <v>708</v>
      </c>
      <c r="U63" s="1299" t="s">
        <v>709</v>
      </c>
      <c r="V63" s="1299" t="s">
        <v>663</v>
      </c>
      <c r="W63" s="1299" t="s">
        <v>706</v>
      </c>
      <c r="X63" s="1299" t="s">
        <v>711</v>
      </c>
      <c r="AC63" s="261"/>
    </row>
    <row r="64" spans="1:29" ht="12.75" customHeight="1" x14ac:dyDescent="0.25">
      <c r="A64" s="261"/>
      <c r="B64" s="37"/>
      <c r="C64" s="37" t="s">
        <v>653</v>
      </c>
      <c r="D64" s="37"/>
      <c r="E64" s="1409"/>
      <c r="F64" s="1431"/>
      <c r="G64" s="1431"/>
      <c r="H64" s="1447"/>
      <c r="I64" s="37"/>
      <c r="J64" s="37"/>
      <c r="K64" s="37"/>
      <c r="L64" s="37"/>
      <c r="M64" s="37"/>
      <c r="N64" s="37"/>
      <c r="O64" s="37"/>
      <c r="P64" s="37"/>
      <c r="Q64" s="38"/>
      <c r="T64" s="786">
        <f>$U38-$V38</f>
        <v>0</v>
      </c>
      <c r="U64" s="790" t="e" cm="1">
        <f t="array" ref="U64">_xlfn.IFS($E64='Hidden Lists and Summaries'!$B$146,$F64)</f>
        <v>#N/A</v>
      </c>
      <c r="V64" s="790">
        <f>$H64</f>
        <v>0</v>
      </c>
      <c r="W64" s="790">
        <f>$G64</f>
        <v>0</v>
      </c>
      <c r="X64" s="923" cm="1">
        <f t="array" ref="X64">_xlfn.IFS($E64='Hidden Lists and Summaries'!$B$146,$T64-$U64,$E64='Hidden Lists and Summaries'!$B$147,$V64*$W64,TRUE,0)</f>
        <v>0</v>
      </c>
      <c r="AC64" s="261"/>
    </row>
    <row r="65" spans="1:40" ht="12.75" customHeight="1" x14ac:dyDescent="0.25">
      <c r="A65" s="261"/>
      <c r="B65" s="37"/>
      <c r="C65" s="37" t="s">
        <v>657</v>
      </c>
      <c r="D65" s="37"/>
      <c r="E65" s="1417"/>
      <c r="F65" s="1436"/>
      <c r="G65" s="1436"/>
      <c r="H65" s="1448"/>
      <c r="I65" s="37"/>
      <c r="J65" s="37"/>
      <c r="K65" s="37"/>
      <c r="L65" s="37"/>
      <c r="M65" s="37"/>
      <c r="N65" s="37"/>
      <c r="O65" s="37"/>
      <c r="P65" s="37"/>
      <c r="Q65" s="38"/>
      <c r="T65" s="263">
        <f>$U39-$V39</f>
        <v>0</v>
      </c>
      <c r="U65" t="e" cm="1">
        <f t="array" ref="U65">_xlfn.IFS($E65='Hidden Lists and Summaries'!$B$146,$F65)</f>
        <v>#N/A</v>
      </c>
      <c r="V65">
        <f t="shared" ref="V65:V67" si="5">$H65</f>
        <v>0</v>
      </c>
      <c r="W65">
        <f t="shared" ref="W65:W67" si="6">$G65</f>
        <v>0</v>
      </c>
      <c r="X65" s="261" cm="1">
        <f t="array" ref="X65">_xlfn.IFS($E65='Hidden Lists and Summaries'!$B$146,$T65-$U65,$E65='Hidden Lists and Summaries'!$B$147,$V65*$W65,TRUE,0)</f>
        <v>0</v>
      </c>
      <c r="AC65" s="261"/>
    </row>
    <row r="66" spans="1:40" ht="12.75" customHeight="1" x14ac:dyDescent="0.25">
      <c r="A66" s="261"/>
      <c r="B66" s="37"/>
      <c r="C66" s="37" t="s">
        <v>658</v>
      </c>
      <c r="D66" s="37"/>
      <c r="E66" s="1417"/>
      <c r="F66" s="1427"/>
      <c r="G66" s="1427"/>
      <c r="H66" s="1435"/>
      <c r="I66" s="37"/>
      <c r="J66" s="37"/>
      <c r="K66" s="37"/>
      <c r="L66" s="37"/>
      <c r="M66" s="37"/>
      <c r="N66" s="37"/>
      <c r="O66" s="37"/>
      <c r="P66" s="37"/>
      <c r="Q66" s="38"/>
      <c r="T66" s="263">
        <f>$U40-$V40</f>
        <v>0</v>
      </c>
      <c r="U66" t="e" cm="1">
        <f t="array" ref="U66">_xlfn.IFS($E66='Hidden Lists and Summaries'!$B$146,$F66)</f>
        <v>#N/A</v>
      </c>
      <c r="V66">
        <f t="shared" si="5"/>
        <v>0</v>
      </c>
      <c r="W66">
        <f t="shared" si="6"/>
        <v>0</v>
      </c>
      <c r="X66" s="261" cm="1">
        <f t="array" ref="X66">_xlfn.IFS($E66='Hidden Lists and Summaries'!$B$146,$T66-$U66,$E66='Hidden Lists and Summaries'!$B$147,$V66*$W66,TRUE,0)</f>
        <v>0</v>
      </c>
      <c r="AC66" s="261"/>
    </row>
    <row r="67" spans="1:40" ht="12.75" customHeight="1" x14ac:dyDescent="0.25">
      <c r="A67" s="261"/>
      <c r="B67" s="37"/>
      <c r="C67" s="37" t="s">
        <v>659</v>
      </c>
      <c r="D67" s="37"/>
      <c r="E67" s="1419"/>
      <c r="F67" s="1429"/>
      <c r="G67" s="1439"/>
      <c r="H67" s="1446"/>
      <c r="I67" s="37"/>
      <c r="J67" s="37"/>
      <c r="K67" s="37"/>
      <c r="L67" s="37"/>
      <c r="M67" s="37"/>
      <c r="N67" s="37"/>
      <c r="O67" s="37"/>
      <c r="P67" s="37"/>
      <c r="Q67" s="38"/>
      <c r="T67" s="321">
        <f>$U41-$V41</f>
        <v>0</v>
      </c>
      <c r="U67" s="322" t="e" cm="1">
        <f t="array" ref="U67">_xlfn.IFS($E67='Hidden Lists and Summaries'!$B$146,$F67)</f>
        <v>#N/A</v>
      </c>
      <c r="V67" s="322">
        <f t="shared" si="5"/>
        <v>0</v>
      </c>
      <c r="W67" s="322">
        <f t="shared" si="6"/>
        <v>0</v>
      </c>
      <c r="X67" s="924" cm="1">
        <f t="array" ref="X67">_xlfn.IFS($E67='Hidden Lists and Summaries'!$B$146,$T67-$U67,$E67='Hidden Lists and Summaries'!$B$147,$V67*$W67,TRUE,0)</f>
        <v>0</v>
      </c>
      <c r="AC67" s="261"/>
    </row>
    <row r="68" spans="1:40" ht="12.75" customHeight="1" x14ac:dyDescent="0.25">
      <c r="A68" s="261"/>
      <c r="B68" s="1375"/>
      <c r="C68" s="1375"/>
      <c r="D68" s="1375"/>
      <c r="E68" s="1375"/>
      <c r="F68" s="1375"/>
      <c r="G68" s="1375"/>
      <c r="H68" s="1375"/>
      <c r="I68" s="1375"/>
      <c r="J68" s="1375"/>
      <c r="K68" s="1375"/>
      <c r="L68" s="1375"/>
      <c r="M68" s="1375"/>
      <c r="N68" s="1375"/>
      <c r="O68" s="1375"/>
      <c r="P68" s="1375"/>
      <c r="Q68" s="40"/>
      <c r="T68" s="263"/>
      <c r="AC68" s="261"/>
    </row>
    <row r="69" spans="1:40" ht="12.75" customHeight="1" x14ac:dyDescent="0.25">
      <c r="T69" s="263"/>
      <c r="AC69" s="261"/>
    </row>
    <row r="70" spans="1:40" ht="12.75" customHeight="1" x14ac:dyDescent="0.25">
      <c r="B70" s="1081"/>
      <c r="C70" s="1082"/>
      <c r="D70" s="1082"/>
      <c r="E70" s="1082"/>
      <c r="F70" s="1082"/>
      <c r="G70" s="1082"/>
      <c r="H70" s="1082"/>
      <c r="I70" s="1082"/>
      <c r="J70" s="1082"/>
      <c r="K70" s="1082"/>
      <c r="L70" s="1082"/>
      <c r="M70" s="1082"/>
      <c r="N70" s="1082"/>
      <c r="O70" s="1082"/>
      <c r="P70" s="1082"/>
      <c r="Q70" s="1083"/>
      <c r="T70" s="263"/>
      <c r="AC70" s="261"/>
    </row>
    <row r="71" spans="1:40" ht="12.75" customHeight="1" x14ac:dyDescent="0.25">
      <c r="B71" s="1084"/>
      <c r="C71" s="1109" t="s">
        <v>712</v>
      </c>
      <c r="D71" s="1086"/>
      <c r="E71" s="1086"/>
      <c r="F71" s="1086"/>
      <c r="G71" s="1086"/>
      <c r="H71" s="1086"/>
      <c r="I71" s="1086"/>
      <c r="J71" s="1086"/>
      <c r="K71" s="1086"/>
      <c r="L71" s="1086"/>
      <c r="M71" s="1086"/>
      <c r="N71" s="1086"/>
      <c r="O71" s="1086"/>
      <c r="P71" s="1086"/>
      <c r="Q71" s="1087"/>
      <c r="T71" s="263"/>
      <c r="AC71" s="261"/>
    </row>
    <row r="72" spans="1:40" ht="12.75" customHeight="1" x14ac:dyDescent="0.25">
      <c r="B72" s="1089"/>
      <c r="C72" s="1090"/>
      <c r="D72" s="1090"/>
      <c r="E72" s="1091" t="s">
        <v>704</v>
      </c>
      <c r="F72" s="1091" t="s">
        <v>705</v>
      </c>
      <c r="G72" s="1111" t="s">
        <v>706</v>
      </c>
      <c r="H72" s="1091" t="s">
        <v>707</v>
      </c>
      <c r="I72" s="1090"/>
      <c r="J72" s="1090"/>
      <c r="K72" s="1090"/>
      <c r="L72" s="1090"/>
      <c r="M72" s="1090"/>
      <c r="N72" s="1090"/>
      <c r="O72" s="1377"/>
      <c r="P72" s="1377"/>
      <c r="Q72" s="1094"/>
      <c r="T72" s="263"/>
      <c r="AC72" s="261"/>
    </row>
    <row r="73" spans="1:40" ht="12.75" customHeight="1" x14ac:dyDescent="0.25">
      <c r="A73" s="261"/>
      <c r="B73" s="1096"/>
      <c r="C73" s="1096"/>
      <c r="D73" s="1096"/>
      <c r="E73" s="1096"/>
      <c r="F73" s="1096"/>
      <c r="G73" s="1096"/>
      <c r="H73" s="1096"/>
      <c r="I73" s="1096"/>
      <c r="J73" s="1096"/>
      <c r="K73" s="1096"/>
      <c r="L73" s="1096"/>
      <c r="M73" s="1096"/>
      <c r="N73" s="1096"/>
      <c r="O73" s="1096"/>
      <c r="P73" s="1096"/>
      <c r="Q73" s="1195"/>
      <c r="T73" s="1299" t="s">
        <v>708</v>
      </c>
      <c r="U73" s="1299" t="s">
        <v>709</v>
      </c>
      <c r="V73" s="1299" t="s">
        <v>663</v>
      </c>
      <c r="W73" s="1299" t="s">
        <v>706</v>
      </c>
      <c r="X73" s="1299" t="s">
        <v>711</v>
      </c>
      <c r="AC73" s="261"/>
    </row>
    <row r="74" spans="1:40" ht="12.75" customHeight="1" x14ac:dyDescent="0.25">
      <c r="A74" s="261"/>
      <c r="B74" s="37"/>
      <c r="C74" s="37" t="s">
        <v>697</v>
      </c>
      <c r="D74" s="37"/>
      <c r="E74" s="1409"/>
      <c r="F74" s="1431"/>
      <c r="G74" s="1431"/>
      <c r="H74" s="1447"/>
      <c r="I74" s="37"/>
      <c r="J74" s="37"/>
      <c r="K74" s="37"/>
      <c r="L74" s="37"/>
      <c r="M74" s="37"/>
      <c r="N74" s="37"/>
      <c r="O74" s="37"/>
      <c r="P74" s="37"/>
      <c r="Q74" s="38"/>
      <c r="T74" s="786">
        <f>$U56-$V56</f>
        <v>0</v>
      </c>
      <c r="U74" s="790" t="e" cm="1">
        <f t="array" ref="U74">_xlfn.IFS($E74='Hidden Lists and Summaries'!$B$146,$F74)</f>
        <v>#N/A</v>
      </c>
      <c r="V74" s="790">
        <f>$H74</f>
        <v>0</v>
      </c>
      <c r="W74" s="790">
        <f>$G74</f>
        <v>0</v>
      </c>
      <c r="X74" s="923" cm="1">
        <f t="array" ref="X74">_xlfn.IFS($E74='Hidden Lists and Summaries'!$B$146,$T74-$U74,$E74='Hidden Lists and Summaries'!$B$147,$V74*$W74,TRUE,0)</f>
        <v>0</v>
      </c>
      <c r="AC74" s="261"/>
    </row>
    <row r="75" spans="1:40" ht="12.75" customHeight="1" x14ac:dyDescent="0.25">
      <c r="A75" s="261"/>
      <c r="B75" s="37"/>
      <c r="C75" s="37" t="s">
        <v>698</v>
      </c>
      <c r="D75" s="37"/>
      <c r="E75" s="1445"/>
      <c r="F75" s="1449"/>
      <c r="G75" s="1449"/>
      <c r="H75" s="1450"/>
      <c r="I75" s="37"/>
      <c r="J75" s="37"/>
      <c r="K75" s="37"/>
      <c r="L75" s="37"/>
      <c r="M75" s="37"/>
      <c r="N75" s="37"/>
      <c r="O75" s="37"/>
      <c r="P75" s="37"/>
      <c r="Q75" s="38"/>
      <c r="T75" s="321">
        <f>$U57-$V57</f>
        <v>0</v>
      </c>
      <c r="U75" s="322" t="e" cm="1">
        <f t="array" ref="U75">_xlfn.IFS($E75='Hidden Lists and Summaries'!$B$146,$F75)</f>
        <v>#N/A</v>
      </c>
      <c r="V75" s="322">
        <f t="shared" ref="V75" si="7">$H75</f>
        <v>0</v>
      </c>
      <c r="W75" s="322">
        <f t="shared" ref="W75" si="8">$G75</f>
        <v>0</v>
      </c>
      <c r="X75" s="924" cm="1">
        <f t="array" ref="X75">_xlfn.IFS($E75='Hidden Lists and Summaries'!$B$146,$T75-$U75,$E75='Hidden Lists and Summaries'!$B$147,$V75*$W75,TRUE,0)</f>
        <v>0</v>
      </c>
      <c r="AC75" s="261"/>
    </row>
    <row r="76" spans="1:40" ht="12.75" customHeight="1" x14ac:dyDescent="0.25">
      <c r="A76" s="261"/>
      <c r="B76" s="1375"/>
      <c r="C76" s="1375"/>
      <c r="D76" s="1375"/>
      <c r="E76" s="1375"/>
      <c r="F76" s="1375"/>
      <c r="G76" s="1375"/>
      <c r="H76" s="1375"/>
      <c r="I76" s="1375"/>
      <c r="J76" s="1375"/>
      <c r="K76" s="1375"/>
      <c r="L76" s="1375"/>
      <c r="M76" s="1375"/>
      <c r="N76" s="1375"/>
      <c r="O76" s="1375"/>
      <c r="P76" s="1375"/>
      <c r="Q76" s="40"/>
      <c r="T76" s="263"/>
      <c r="AC76" s="261"/>
    </row>
    <row r="77" spans="1:40" ht="12.75" customHeight="1" x14ac:dyDescent="0.25">
      <c r="T77" s="263"/>
      <c r="AC77" s="261"/>
    </row>
    <row r="78" spans="1:40" s="1069" customFormat="1" ht="15.65" customHeight="1" x14ac:dyDescent="0.25">
      <c r="B78" s="1081"/>
      <c r="C78" s="1082"/>
      <c r="D78" s="1082"/>
      <c r="E78" s="1082"/>
      <c r="F78" s="1082"/>
      <c r="G78" s="1082"/>
      <c r="H78" s="1082"/>
      <c r="I78" s="1082"/>
      <c r="J78" s="1082"/>
      <c r="K78" s="1082"/>
      <c r="L78" s="1082"/>
      <c r="M78" s="1082"/>
      <c r="N78" s="1082"/>
      <c r="O78" s="1082"/>
      <c r="P78" s="1082"/>
      <c r="Q78" s="1083"/>
      <c r="T78" s="1088"/>
      <c r="U78" s="1079"/>
      <c r="V78" s="1079"/>
      <c r="W78" s="1079"/>
      <c r="X78" s="1079"/>
      <c r="Y78" s="1079"/>
      <c r="Z78" s="1079"/>
      <c r="AA78" s="1079"/>
      <c r="AB78" s="1079"/>
      <c r="AC78" s="1080"/>
      <c r="AD78" s="1079"/>
      <c r="AE78" s="1079"/>
      <c r="AF78" s="1079"/>
      <c r="AG78"/>
      <c r="AH78"/>
      <c r="AI78"/>
      <c r="AJ78"/>
      <c r="AK78"/>
      <c r="AL78"/>
      <c r="AM78"/>
      <c r="AN78"/>
    </row>
    <row r="79" spans="1:40" s="1069" customFormat="1" ht="15" customHeight="1" x14ac:dyDescent="0.25">
      <c r="B79" s="1084"/>
      <c r="C79" s="1109" t="s">
        <v>716</v>
      </c>
      <c r="D79" s="1086"/>
      <c r="E79" s="1086"/>
      <c r="F79" s="1086"/>
      <c r="G79" s="1086"/>
      <c r="H79" s="1086"/>
      <c r="I79" s="1086"/>
      <c r="J79" s="1086"/>
      <c r="K79" s="1086"/>
      <c r="L79" s="1086"/>
      <c r="M79" s="1086"/>
      <c r="N79" s="1086"/>
      <c r="O79" s="1086"/>
      <c r="P79" s="1086"/>
      <c r="Q79" s="1087"/>
      <c r="T79" s="1088"/>
      <c r="U79" s="1079"/>
      <c r="V79" s="1079"/>
      <c r="W79" s="1079"/>
      <c r="X79" s="1079"/>
      <c r="Y79" s="1079"/>
      <c r="Z79" s="1079"/>
      <c r="AA79" s="1079"/>
      <c r="AB79" s="1079"/>
      <c r="AC79" s="1080"/>
      <c r="AD79" s="1079"/>
      <c r="AE79" s="1079"/>
      <c r="AF79" s="1079"/>
      <c r="AG79"/>
      <c r="AH79"/>
      <c r="AI79"/>
      <c r="AJ79"/>
      <c r="AK79"/>
      <c r="AL79"/>
      <c r="AM79"/>
      <c r="AN79"/>
    </row>
    <row r="80" spans="1:40" s="1069" customFormat="1" ht="15.65" customHeight="1" x14ac:dyDescent="0.25">
      <c r="B80" s="1089"/>
      <c r="C80" s="1090"/>
      <c r="D80" s="1090"/>
      <c r="E80" s="1091" t="s">
        <v>80</v>
      </c>
      <c r="F80" s="1091" t="s">
        <v>81</v>
      </c>
      <c r="G80" s="1092"/>
      <c r="H80" s="1092"/>
      <c r="I80" s="1092"/>
      <c r="J80" s="1093"/>
      <c r="K80" s="1090"/>
      <c r="L80" s="1090"/>
      <c r="M80" s="1090"/>
      <c r="N80" s="1090"/>
      <c r="O80" s="1091" t="s">
        <v>82</v>
      </c>
      <c r="P80" s="1090"/>
      <c r="Q80" s="1094"/>
      <c r="T80" s="1153" t="s">
        <v>228</v>
      </c>
      <c r="U80" s="1153" t="s">
        <v>229</v>
      </c>
      <c r="V80" s="1154" t="s">
        <v>230</v>
      </c>
      <c r="W80" s="1154" t="s">
        <v>231</v>
      </c>
      <c r="X80" s="1154" t="s">
        <v>232</v>
      </c>
      <c r="Y80" s="1168" t="s">
        <v>233</v>
      </c>
      <c r="Z80" s="1169" t="s">
        <v>234</v>
      </c>
      <c r="AA80" s="1079"/>
      <c r="AB80" s="1079"/>
      <c r="AC80" s="1080"/>
      <c r="AF80" s="1079"/>
      <c r="AG80"/>
      <c r="AH80"/>
      <c r="AI80"/>
      <c r="AJ80"/>
      <c r="AK80"/>
      <c r="AL80"/>
      <c r="AM80"/>
      <c r="AN80"/>
    </row>
    <row r="81" spans="2:40" s="1069" customFormat="1" ht="15.65" customHeight="1" x14ac:dyDescent="0.25">
      <c r="B81" s="1170"/>
      <c r="C81" s="1171"/>
      <c r="D81" s="1171"/>
      <c r="E81" s="1172"/>
      <c r="F81" s="1172"/>
      <c r="G81" s="1173"/>
      <c r="H81" s="1173"/>
      <c r="I81" s="1173"/>
      <c r="J81" s="1174"/>
      <c r="K81" s="1171"/>
      <c r="L81" s="1171"/>
      <c r="M81" s="1171"/>
      <c r="N81" s="1171"/>
      <c r="O81" s="1172"/>
      <c r="P81" s="1171"/>
      <c r="Q81" s="1175"/>
      <c r="T81" s="1156"/>
      <c r="U81" s="1156" t="s">
        <v>84</v>
      </c>
      <c r="V81" s="1154" t="s">
        <v>84</v>
      </c>
      <c r="W81" s="1157"/>
      <c r="X81" s="1157"/>
      <c r="Y81" s="1168"/>
      <c r="Z81" s="1169"/>
      <c r="AA81" s="1079"/>
      <c r="AB81" s="1079"/>
      <c r="AC81" s="1080"/>
      <c r="AF81" s="1079"/>
      <c r="AG81"/>
      <c r="AH81"/>
      <c r="AI81"/>
      <c r="AJ81"/>
      <c r="AK81"/>
      <c r="AL81"/>
      <c r="AM81"/>
      <c r="AN81"/>
    </row>
    <row r="82" spans="2:40" s="1069" customFormat="1" ht="15.65" customHeight="1" x14ac:dyDescent="0.25">
      <c r="B82" s="1095"/>
      <c r="C82" s="1189" t="s">
        <v>235</v>
      </c>
      <c r="D82" s="1096"/>
      <c r="E82" s="552"/>
      <c r="F82" s="1177" t="s">
        <v>415</v>
      </c>
      <c r="G82" s="75"/>
      <c r="H82" s="1098"/>
      <c r="I82" s="1098"/>
      <c r="J82" s="1096"/>
      <c r="K82" s="1096"/>
      <c r="L82" s="1096"/>
      <c r="M82" s="1096"/>
      <c r="N82" s="1096"/>
      <c r="O82" s="1096"/>
      <c r="P82" s="1096"/>
      <c r="Q82" s="1099"/>
      <c r="T82" s="1178" t="s">
        <v>120</v>
      </c>
      <c r="U82" s="104">
        <f>E82*VLOOKUP(F82,EnergyConversionTable[],3)</f>
        <v>0</v>
      </c>
      <c r="V82" s="104"/>
      <c r="W82" s="278"/>
      <c r="X82" s="1147" t="s">
        <v>236</v>
      </c>
      <c r="Y82" s="1179" t="str">
        <f>overall_locationBasedImportEmissions</f>
        <v>Error -  Review inputs</v>
      </c>
      <c r="Z82" s="1149">
        <f>W85</f>
        <v>0</v>
      </c>
      <c r="AA82" s="1079"/>
      <c r="AB82" s="1079"/>
      <c r="AC82" s="1080"/>
      <c r="AF82" s="1079"/>
      <c r="AG82"/>
      <c r="AH82"/>
      <c r="AI82"/>
      <c r="AJ82"/>
      <c r="AK82"/>
      <c r="AL82"/>
      <c r="AM82"/>
      <c r="AN82"/>
    </row>
    <row r="83" spans="2:40" s="1069" customFormat="1" ht="15.5" x14ac:dyDescent="0.25">
      <c r="B83" s="1095"/>
      <c r="C83" s="1180" t="s">
        <v>237</v>
      </c>
      <c r="D83" s="1096"/>
      <c r="E83" s="548"/>
      <c r="F83" s="1181" t="s">
        <v>415</v>
      </c>
      <c r="G83" s="75" t="str">
        <f>IF('Electricity Usage'!$H$71&gt;1,'Hidden Lists and Summaries'!$D$160,"")</f>
        <v/>
      </c>
      <c r="H83" s="1098"/>
      <c r="I83" s="1098"/>
      <c r="J83" s="1096"/>
      <c r="K83" s="1096"/>
      <c r="L83" s="1096"/>
      <c r="M83" s="1096"/>
      <c r="N83" s="1182" t="s">
        <v>236</v>
      </c>
      <c r="O83" s="1183" t="str">
        <f>IFERROR(Y82*Z82,'Hidden Lists and Summaries'!$C$158)</f>
        <v>Error -  Review inputs</v>
      </c>
      <c r="P83" s="1184" t="s">
        <v>90</v>
      </c>
      <c r="Q83" s="1099"/>
      <c r="T83" s="1185" t="s">
        <v>238</v>
      </c>
      <c r="U83" s="91">
        <f>E83*VLOOKUP(F83,EnergyConversionTable[],3)</f>
        <v>0</v>
      </c>
      <c r="V83" s="91"/>
      <c r="W83" s="218"/>
      <c r="X83" s="1088" t="s">
        <v>239</v>
      </c>
      <c r="Y83" s="1186">
        <f>overall_ImportEmissions</f>
        <v>0</v>
      </c>
      <c r="Z83" s="1080">
        <f>W85</f>
        <v>0</v>
      </c>
      <c r="AA83" s="1079"/>
      <c r="AB83" s="1079"/>
      <c r="AC83" s="1080"/>
      <c r="AF83" s="1079"/>
      <c r="AG83"/>
      <c r="AH83"/>
      <c r="AI83"/>
      <c r="AJ83"/>
      <c r="AK83"/>
      <c r="AL83"/>
      <c r="AM83"/>
      <c r="AN83"/>
    </row>
    <row r="84" spans="2:40" s="1069" customFormat="1" ht="15.65" customHeight="1" x14ac:dyDescent="0.25">
      <c r="B84" s="1095"/>
      <c r="C84" s="1180"/>
      <c r="D84" s="1187"/>
      <c r="E84" s="1173"/>
      <c r="F84" s="1173"/>
      <c r="G84" s="75"/>
      <c r="H84" s="1098"/>
      <c r="I84" s="1098"/>
      <c r="J84" s="1098"/>
      <c r="K84" s="1098"/>
      <c r="L84" s="1098"/>
      <c r="M84" s="1096"/>
      <c r="N84" s="1130" t="s">
        <v>239</v>
      </c>
      <c r="O84" s="1131">
        <f>IFERROR(Y83*Z83,'Hidden Lists and Summaries'!$C$158)</f>
        <v>0</v>
      </c>
      <c r="P84" s="1132" t="s">
        <v>90</v>
      </c>
      <c r="Q84" s="1099"/>
      <c r="T84" s="1185"/>
      <c r="U84" s="91">
        <f>U83</f>
        <v>0</v>
      </c>
      <c r="V84" s="91">
        <f>overall_onsiteElecGenRenewables+overall_verifiedRenewableElectricityImported</f>
        <v>0</v>
      </c>
      <c r="W84" s="218">
        <f>IF(V84=0,0,U84/V84)</f>
        <v>0</v>
      </c>
      <c r="X84" s="1088" t="s">
        <v>242</v>
      </c>
      <c r="Y84" s="1186">
        <f>total_embodiedEmissionsCombustionBasedElectricity</f>
        <v>0</v>
      </c>
      <c r="Z84" s="1080">
        <f>W86</f>
        <v>0</v>
      </c>
      <c r="AA84" s="1079"/>
      <c r="AB84" s="1079"/>
      <c r="AC84" s="1080"/>
      <c r="AF84" s="1079"/>
      <c r="AG84"/>
      <c r="AH84"/>
      <c r="AI84"/>
      <c r="AJ84"/>
      <c r="AK84"/>
      <c r="AL84"/>
      <c r="AM84"/>
      <c r="AN84"/>
    </row>
    <row r="85" spans="2:40" s="1069" customFormat="1" ht="15.65" customHeight="1" x14ac:dyDescent="0.25">
      <c r="B85" s="1095"/>
      <c r="C85" s="1176" t="s">
        <v>244</v>
      </c>
      <c r="D85" s="1188"/>
      <c r="E85" s="552"/>
      <c r="F85" s="1177" t="s">
        <v>415</v>
      </c>
      <c r="G85" s="75" t="str">
        <f>IF('Electricity Usage'!$E$71&gt;1,'Hidden Lists and Summaries'!$D$157,"")</f>
        <v/>
      </c>
      <c r="H85" s="1098"/>
      <c r="I85" s="1098"/>
      <c r="J85" s="1096"/>
      <c r="K85" s="1096"/>
      <c r="L85" s="1096"/>
      <c r="M85" s="1096"/>
      <c r="N85" s="1130" t="s">
        <v>242</v>
      </c>
      <c r="O85" s="1131">
        <f>IFERROR(Y84*Z84,'Hidden Lists and Summaries'!$C$158)</f>
        <v>0</v>
      </c>
      <c r="P85" s="1132" t="s">
        <v>90</v>
      </c>
      <c r="Q85" s="1099"/>
      <c r="T85" s="1185" t="s">
        <v>246</v>
      </c>
      <c r="U85" s="91">
        <f>E85*VLOOKUP(F85,EnergyConversionTable[],3)</f>
        <v>0</v>
      </c>
      <c r="V85" s="91">
        <f>overall_totalImportedElectricity</f>
        <v>0</v>
      </c>
      <c r="W85" s="218">
        <f>IF(V85=0,0,U85/V85)</f>
        <v>0</v>
      </c>
      <c r="X85" s="1197" t="s">
        <v>247</v>
      </c>
      <c r="Y85" s="1400">
        <f>total_emissionsCombustionBasedElectricity</f>
        <v>0</v>
      </c>
      <c r="Z85" s="1143">
        <f>W86</f>
        <v>0</v>
      </c>
      <c r="AA85" s="1079"/>
      <c r="AB85" s="1079"/>
      <c r="AC85" s="1080"/>
      <c r="AF85" s="1079"/>
      <c r="AG85"/>
      <c r="AH85"/>
      <c r="AI85"/>
      <c r="AJ85"/>
      <c r="AK85"/>
      <c r="AL85"/>
      <c r="AM85"/>
      <c r="AN85"/>
    </row>
    <row r="86" spans="2:40" s="1069" customFormat="1" ht="15" customHeight="1" x14ac:dyDescent="0.25">
      <c r="B86" s="1095"/>
      <c r="C86" s="1176" t="s">
        <v>249</v>
      </c>
      <c r="D86" s="1096"/>
      <c r="E86" s="548"/>
      <c r="F86" s="1181" t="s">
        <v>415</v>
      </c>
      <c r="G86" s="75" t="str">
        <f>IF('Electricity Usage'!$F$71&gt;1,'Hidden Lists and Summaries'!$D$158,"")</f>
        <v/>
      </c>
      <c r="H86" s="1098"/>
      <c r="I86" s="1098"/>
      <c r="J86" s="1096"/>
      <c r="K86" s="1096"/>
      <c r="L86" s="1096"/>
      <c r="M86" s="1096"/>
      <c r="N86" s="1130" t="s">
        <v>247</v>
      </c>
      <c r="O86" s="1131">
        <f>IFERROR(Y85*Z85,'Hidden Lists and Summaries'!$C$158)</f>
        <v>0</v>
      </c>
      <c r="P86" s="1132" t="s">
        <v>90</v>
      </c>
      <c r="Q86" s="1099"/>
      <c r="T86" s="1190" t="s">
        <v>251</v>
      </c>
      <c r="U86" s="185">
        <f>E86*VLOOKUP(F86,EnergyConversionTable[],3)</f>
        <v>0</v>
      </c>
      <c r="V86" s="185">
        <f>overall_totalOnsiteCombustionElecGen</f>
        <v>0</v>
      </c>
      <c r="W86" s="225">
        <f>IF(V86=0,0,U86/V86)</f>
        <v>0</v>
      </c>
      <c r="X86" s="1079"/>
      <c r="Y86" s="1079"/>
      <c r="Z86" s="1179"/>
      <c r="AA86" s="1079"/>
      <c r="AB86" s="1079"/>
      <c r="AC86" s="1080"/>
      <c r="AF86" s="1079"/>
      <c r="AG86"/>
      <c r="AH86"/>
      <c r="AI86"/>
      <c r="AJ86"/>
      <c r="AK86"/>
      <c r="AL86"/>
      <c r="AM86"/>
      <c r="AN86"/>
    </row>
    <row r="87" spans="2:40" s="1069" customFormat="1" ht="15.65" customHeight="1" x14ac:dyDescent="0.25">
      <c r="B87" s="1105"/>
      <c r="C87" s="1106"/>
      <c r="D87" s="1106"/>
      <c r="E87" s="1106"/>
      <c r="F87" s="1106"/>
      <c r="G87" s="1106"/>
      <c r="H87" s="1115"/>
      <c r="I87" s="1115"/>
      <c r="J87" s="1106"/>
      <c r="K87" s="1106"/>
      <c r="L87" s="1106"/>
      <c r="M87" s="1106"/>
      <c r="N87" s="1144" t="s">
        <v>120</v>
      </c>
      <c r="O87" s="1145">
        <f>SUM(O84:O86)</f>
        <v>0</v>
      </c>
      <c r="P87" s="1146" t="s">
        <v>90</v>
      </c>
      <c r="Q87" s="1107"/>
      <c r="T87" s="1088"/>
      <c r="U87" s="1079"/>
      <c r="V87" s="1079"/>
      <c r="W87" s="1079"/>
      <c r="X87" s="1079"/>
      <c r="Y87" s="1079"/>
      <c r="Z87" s="1079"/>
      <c r="AA87" s="1079"/>
      <c r="AB87" s="1079"/>
      <c r="AC87" s="1080"/>
      <c r="AD87" s="1079"/>
      <c r="AE87" s="1079"/>
      <c r="AF87" s="1079"/>
      <c r="AG87"/>
      <c r="AH87"/>
      <c r="AI87"/>
      <c r="AJ87"/>
      <c r="AK87"/>
      <c r="AL87"/>
      <c r="AM87"/>
      <c r="AN87"/>
    </row>
    <row r="88" spans="2:40" ht="12.75" customHeight="1" x14ac:dyDescent="0.25">
      <c r="T88" s="263"/>
      <c r="AC88" s="261"/>
    </row>
    <row r="89" spans="2:40" s="1069" customFormat="1" ht="15.65" customHeight="1" x14ac:dyDescent="0.25">
      <c r="B89" s="1081"/>
      <c r="C89" s="1082"/>
      <c r="D89" s="1082"/>
      <c r="E89" s="1082"/>
      <c r="F89" s="1082"/>
      <c r="G89" s="1082"/>
      <c r="H89" s="1907" t="s">
        <v>287</v>
      </c>
      <c r="I89" s="1907"/>
      <c r="J89" s="1907"/>
      <c r="K89" s="1082"/>
      <c r="L89" s="1082"/>
      <c r="M89" s="1082"/>
      <c r="N89" s="1082"/>
      <c r="O89" s="1082"/>
      <c r="P89" s="1082"/>
      <c r="Q89" s="1083"/>
      <c r="T89" s="1088"/>
      <c r="U89" s="1079"/>
      <c r="V89" s="1079"/>
      <c r="W89" s="1079"/>
      <c r="X89" s="1079"/>
      <c r="Y89" s="1079"/>
      <c r="Z89" s="1079"/>
      <c r="AA89" s="1079"/>
      <c r="AB89" s="1079"/>
      <c r="AC89" s="1080"/>
      <c r="AD89" s="1079"/>
      <c r="AE89" s="1079"/>
      <c r="AF89" s="1079"/>
      <c r="AG89"/>
      <c r="AH89"/>
      <c r="AI89"/>
      <c r="AJ89"/>
      <c r="AK89"/>
      <c r="AL89"/>
      <c r="AM89"/>
      <c r="AN89"/>
    </row>
    <row r="90" spans="2:40" s="1069" customFormat="1" ht="15.65" customHeight="1" x14ac:dyDescent="0.25">
      <c r="B90" s="1084"/>
      <c r="C90" s="1198" t="s">
        <v>717</v>
      </c>
      <c r="D90" s="1151"/>
      <c r="E90" s="1151"/>
      <c r="F90" s="1151"/>
      <c r="G90" s="1151"/>
      <c r="H90" s="1151"/>
      <c r="I90" s="1915" t="s">
        <v>797</v>
      </c>
      <c r="J90" s="1902" t="s">
        <v>289</v>
      </c>
      <c r="K90" s="1902" t="s">
        <v>515</v>
      </c>
      <c r="L90" s="1199"/>
      <c r="M90" s="1151"/>
      <c r="N90" s="1151"/>
      <c r="O90" s="1151"/>
      <c r="P90" s="1151"/>
      <c r="Q90" s="1087"/>
      <c r="T90" s="1088"/>
      <c r="U90" s="1079"/>
      <c r="V90" s="1079"/>
      <c r="W90" s="1079"/>
      <c r="X90" s="1079"/>
      <c r="Y90" s="1079"/>
      <c r="Z90" s="1079"/>
      <c r="AA90" s="1079"/>
      <c r="AB90" s="1079"/>
      <c r="AC90" s="1080"/>
      <c r="AD90" s="1079"/>
      <c r="AE90" s="1079"/>
      <c r="AF90" s="1079"/>
      <c r="AG90"/>
      <c r="AH90"/>
      <c r="AI90"/>
      <c r="AJ90"/>
      <c r="AK90"/>
      <c r="AL90"/>
      <c r="AM90"/>
      <c r="AN90"/>
    </row>
    <row r="91" spans="2:40" s="1069" customFormat="1" ht="15.65" customHeight="1" x14ac:dyDescent="0.25">
      <c r="B91" s="1089"/>
      <c r="C91" s="1090"/>
      <c r="D91" s="1090"/>
      <c r="E91" s="1091" t="s">
        <v>112</v>
      </c>
      <c r="F91" s="1091" t="s">
        <v>117</v>
      </c>
      <c r="G91" s="1091" t="s">
        <v>119</v>
      </c>
      <c r="H91" s="1111" t="s">
        <v>184</v>
      </c>
      <c r="I91" s="1916"/>
      <c r="J91" s="1896"/>
      <c r="K91" s="1896"/>
      <c r="L91" s="1201"/>
      <c r="M91" s="1093"/>
      <c r="N91" s="1093"/>
      <c r="O91" s="1091" t="s">
        <v>82</v>
      </c>
      <c r="P91" s="1093"/>
      <c r="Q91" s="1112"/>
      <c r="T91" s="1325" t="s">
        <v>106</v>
      </c>
      <c r="U91" s="1231" t="s">
        <v>107</v>
      </c>
      <c r="V91" s="1232" t="s">
        <v>108</v>
      </c>
      <c r="W91" s="1122" t="s">
        <v>109</v>
      </c>
      <c r="X91" s="1079"/>
      <c r="Y91" s="1079"/>
      <c r="Z91" s="1079"/>
      <c r="AA91" s="1079"/>
      <c r="AB91" s="1079"/>
      <c r="AC91" s="1476"/>
      <c r="AD91" s="1079"/>
      <c r="AE91" s="1079"/>
      <c r="AF91" s="1079"/>
      <c r="AG91"/>
      <c r="AH91"/>
      <c r="AI91"/>
      <c r="AJ91"/>
      <c r="AK91"/>
      <c r="AL91"/>
      <c r="AM91"/>
      <c r="AN91"/>
    </row>
    <row r="92" spans="2:40" s="1069" customFormat="1" ht="15.65" customHeight="1" x14ac:dyDescent="0.25">
      <c r="B92" s="1095"/>
      <c r="C92" s="1096"/>
      <c r="D92" s="1096"/>
      <c r="E92" s="1096"/>
      <c r="F92" s="1096"/>
      <c r="G92" s="1096"/>
      <c r="H92" s="1098"/>
      <c r="I92" s="100"/>
      <c r="J92" s="1401"/>
      <c r="K92" s="1096"/>
      <c r="L92" s="1096"/>
      <c r="M92" s="1182"/>
      <c r="N92" s="1402" t="s">
        <v>257</v>
      </c>
      <c r="O92" s="1402" t="s">
        <v>259</v>
      </c>
      <c r="P92" s="1403"/>
      <c r="Q92" s="1099"/>
      <c r="T92" s="1156" t="s">
        <v>113</v>
      </c>
      <c r="U92" s="1232" t="s">
        <v>114</v>
      </c>
      <c r="V92" s="1156" t="s">
        <v>113</v>
      </c>
      <c r="W92" s="1122" t="s">
        <v>115</v>
      </c>
      <c r="X92" s="1079"/>
      <c r="Y92" s="1079"/>
      <c r="Z92" s="1079"/>
      <c r="AA92" s="1079"/>
      <c r="AB92" s="1079"/>
      <c r="AC92" s="1166"/>
      <c r="AD92" s="1079"/>
      <c r="AE92" s="1079"/>
      <c r="AF92" s="1079"/>
      <c r="AG92"/>
      <c r="AH92"/>
      <c r="AI92"/>
      <c r="AJ92"/>
      <c r="AK92"/>
      <c r="AL92"/>
      <c r="AM92"/>
      <c r="AN92"/>
    </row>
    <row r="93" spans="2:40" s="1069" customFormat="1" ht="15.65" customHeight="1" x14ac:dyDescent="0.25">
      <c r="B93" s="1095"/>
      <c r="C93" s="1113" t="s">
        <v>291</v>
      </c>
      <c r="D93" s="1096"/>
      <c r="E93" s="355"/>
      <c r="F93" s="373"/>
      <c r="G93" s="374"/>
      <c r="H93" s="427"/>
      <c r="I93" s="375"/>
      <c r="J93" s="376"/>
      <c r="K93" s="482"/>
      <c r="L93" s="1099"/>
      <c r="M93" s="1131"/>
      <c r="N93" s="1131">
        <f>IF(AND(E93="",F93="",G93="",H93="",I93="",J93="",K93=""),0,IFERROR(U93*V93*W93,'Hidden Lists and Summaries'!$C$158))</f>
        <v>0</v>
      </c>
      <c r="O93" s="1131">
        <f>IF(AND(E93="",F93="",G93="",H93="",I93="",J93="",K93=""),0,IFERROR(T93*U93*W93,'Hidden Lists and Summaries'!$C$158))</f>
        <v>0</v>
      </c>
      <c r="P93" s="1132" t="s">
        <v>90</v>
      </c>
      <c r="Q93" s="1099"/>
      <c r="T93" s="1404" t="str">
        <f>IF(I93&lt;&gt;"",I93,
IF(E93="Solid Fuel",VLOOKUP(F93,'Key Values'!$B$40:$G$58,6,FALSE),
IF(E93="Gaseous Fuel", VLOOKUP(F93,'Key Values'!$B$71:$G$88,6,FALSE),
IF(E93="Liquid Fuel", VLOOKUP(F93,'Key Values'!$B$100:$H$120,7,FALSE),
'Hidden Lists and Summaries'!$C$157))))</f>
        <v>No default, please enter a bespoke value</v>
      </c>
      <c r="U93" s="1148" t="e">
        <f>IF(J93&lt;&gt;"",J93,IF(E93="Solid Fuel",VLOOKUP(F93,'Key Values'!$B$40:$G$58,2,FALSE),
IF(E93="Gaseous Fuel",VLOOKUP(F93,'Key Values'!$B$71:$G$88,2,FALSE),
VLOOKUP(F93,'Key Values'!$B$100:$H$120,2,FALSE))))</f>
        <v>#N/A</v>
      </c>
      <c r="V93" s="1405" t="e" cm="1">
        <f t="array" ref="V93">_xlfn.IFS(K93&lt;&gt;"",K93,E93="Solid Fuel", VLOOKUP(F93,'Key Values'!$B$61:$C$68,2,FALSE),
E93="Liquid fuel",VLOOKUP(F93,'Key Values'!$B$123:$C$143,2,FALSE),
E93="Gaseous Fuel", IF(VLOOKUP(F93,GasFuel[#All],7,FALSE)=TRUE,IF(F93='Key Values'!$B$77,'Hidden Lists and Summaries'!$C$157,VLOOKUP(iq_location,GaseousFuelEmbodiedEmissions[#All],IF(iq_metro="Yes",2,3),FALSE)),'Hidden Lists and Summaries'!$C$157))</f>
        <v>#N/A</v>
      </c>
      <c r="W93" s="1406" t="e" cm="1">
        <f t="array" ref="W93">_xlfn.IFS('Key Values'!$B$35=E93, VLOOKUP(H93,massConv[#All], 2, FALSE),
'Key Values'!$B$36=E93, IF(VLOOKUP(F93,'Key Values'!$B$101:$H$121,3,FALSE)="GJ/t", VLOOKUP(H93,massConv[#All], 2, FALSE), VLOOKUP(H93,volConv[#All], 2, FALSE)),
'Key Values'!$B$37=E93, VLOOKUP(H93,volConv[#All], 2, FALSE)) * G93</f>
        <v>#N/A</v>
      </c>
      <c r="X93" s="1079"/>
      <c r="Y93" s="1079"/>
      <c r="Z93" s="1079"/>
      <c r="AA93" s="1079"/>
      <c r="AB93" s="1079"/>
      <c r="AC93" s="1235"/>
      <c r="AD93" s="1079"/>
      <c r="AE93" s="1079"/>
      <c r="AF93" s="1079"/>
      <c r="AG93"/>
      <c r="AH93"/>
      <c r="AI93"/>
      <c r="AJ93"/>
      <c r="AK93"/>
      <c r="AL93"/>
      <c r="AM93"/>
      <c r="AN93"/>
    </row>
    <row r="94" spans="2:40" s="1069" customFormat="1" ht="15.65" customHeight="1" x14ac:dyDescent="0.25">
      <c r="B94" s="1095"/>
      <c r="C94" s="1113" t="s">
        <v>292</v>
      </c>
      <c r="D94" s="1096"/>
      <c r="E94" s="377"/>
      <c r="F94" s="378"/>
      <c r="G94" s="379"/>
      <c r="H94" s="380"/>
      <c r="I94" s="381"/>
      <c r="J94" s="382"/>
      <c r="K94" s="487"/>
      <c r="L94" s="1099"/>
      <c r="M94" s="1131"/>
      <c r="N94" s="1131">
        <f>IF(AND(E94="",F94="",G94="",H94="",I94="",J94="",K94=""),0,IFERROR(U94*V94*W94,'Hidden Lists and Summaries'!$C$158))</f>
        <v>0</v>
      </c>
      <c r="O94" s="1131">
        <f>IF(AND(E94="",F94="",G94="",H94="",I94="",J94="",K94=""),0,IFERROR(T94*U94*W94,'Hidden Lists and Summaries'!$C$158))</f>
        <v>0</v>
      </c>
      <c r="P94" s="1132" t="s">
        <v>90</v>
      </c>
      <c r="Q94" s="1099"/>
      <c r="T94" s="1340" t="str">
        <f>IF(I94&lt;&gt;"",I94,
IF(E94="Solid Fuel",VLOOKUP(F94,'Key Values'!$B$40:$G$58,6,FALSE),
IF(E94="Gaseous Fuel", VLOOKUP(F94,'Key Values'!$B$71:$G$88,6,FALSE),
IF(E94="Liquid Fuel", VLOOKUP(F94,'Key Values'!$B$100:$H$120,7,FALSE),
'Hidden Lists and Summaries'!$C$157))))</f>
        <v>No default, please enter a bespoke value</v>
      </c>
      <c r="U94" s="1079" t="e">
        <f>IF(J94&lt;&gt;"",J94,IF(E94="Solid Fuel",VLOOKUP(F94,'Key Values'!$B$40:$G$58,2,FALSE),
IF(E94="Gaseous Fuel",VLOOKUP(F94,'Key Values'!$B$71:$G$88,2,FALSE),
VLOOKUP(F94,'Key Values'!$B$100:$H$120,2,FALSE))))</f>
        <v>#N/A</v>
      </c>
      <c r="V94" s="1234" t="e" cm="1">
        <f t="array" ref="V94">_xlfn.IFS(K94&lt;&gt;"",K94,E94="Solid Fuel", VLOOKUP(F94,'Key Values'!$B$61:$C$68,2,FALSE),
E94="Liquid fuel",VLOOKUP(F94,'Key Values'!$B$123:$C$143,2,FALSE),
E94="Gaseous Fuel", IF(VLOOKUP(F94,GasFuel[#All],7,FALSE)=TRUE,IF(F94='Key Values'!$B$77,'Hidden Lists and Summaries'!$C$157,VLOOKUP(iq_location,GaseousFuelEmbodiedEmissions[#All],IF(iq_metro="Yes",2,3),FALSE)),'Hidden Lists and Summaries'!$C$157))</f>
        <v>#N/A</v>
      </c>
      <c r="W94" s="1333" t="e" cm="1">
        <f t="array" ref="W94">_xlfn.IFS('Key Values'!$B$35=E94, VLOOKUP(H94,massConv[#All], 2, FALSE),
'Key Values'!$B$36=E94, IF(VLOOKUP(F94,'Key Values'!$B$101:$H$121,3,FALSE)="GJ/t", VLOOKUP(H94,massConv[#All], 2, FALSE), VLOOKUP(H94,volConv[#All], 2, FALSE)),
'Key Values'!$B$37=E94, VLOOKUP(H94,volConv[#All], 2, FALSE)) * G94</f>
        <v>#N/A</v>
      </c>
      <c r="X94" s="1079"/>
      <c r="Y94" s="1079"/>
      <c r="Z94" s="1079"/>
      <c r="AA94" s="1079"/>
      <c r="AB94" s="1079"/>
      <c r="AC94" s="1080"/>
      <c r="AD94" s="1079"/>
      <c r="AE94" s="1079"/>
      <c r="AF94" s="1079"/>
      <c r="AG94"/>
      <c r="AH94"/>
      <c r="AI94"/>
      <c r="AJ94"/>
      <c r="AK94"/>
      <c r="AL94"/>
      <c r="AM94"/>
      <c r="AN94"/>
    </row>
    <row r="95" spans="2:40" s="1069" customFormat="1" ht="15.65" customHeight="1" x14ac:dyDescent="0.25">
      <c r="B95" s="1095"/>
      <c r="C95" s="1113" t="s">
        <v>293</v>
      </c>
      <c r="D95" s="1096"/>
      <c r="E95" s="384"/>
      <c r="F95" s="385"/>
      <c r="G95" s="386"/>
      <c r="H95" s="380"/>
      <c r="I95" s="381"/>
      <c r="J95" s="382"/>
      <c r="K95" s="486"/>
      <c r="L95" s="1099"/>
      <c r="M95" s="1131"/>
      <c r="N95" s="1131">
        <f>IF(AND(E95="",F95="",G95="",H95="",I95="",J95="",K95=""),0,IFERROR(U95*V95*W95,'Hidden Lists and Summaries'!$C$158))</f>
        <v>0</v>
      </c>
      <c r="O95" s="1131">
        <f>IF(AND(E95="",F95="",G95="",H95="",I95="",J95="",K95=""),0,IFERROR(T95*U95*W95,'Hidden Lists and Summaries'!$C$158))</f>
        <v>0</v>
      </c>
      <c r="P95" s="1132" t="s">
        <v>90</v>
      </c>
      <c r="Q95" s="1099"/>
      <c r="T95" s="1340" t="str">
        <f>IF(I95&lt;&gt;"",I95,
IF(E95="Solid Fuel",VLOOKUP(F95,'Key Values'!$B$40:$G$58,6,FALSE),
IF(E95="Gaseous Fuel", VLOOKUP(F95,'Key Values'!$B$71:$G$88,6,FALSE),
IF(E95="Liquid Fuel", VLOOKUP(F95,'Key Values'!$B$100:$H$120,7,FALSE),
'Hidden Lists and Summaries'!$C$157))))</f>
        <v>No default, please enter a bespoke value</v>
      </c>
      <c r="U95" s="1079" t="e">
        <f>IF(J95&lt;&gt;"",J95,IF(E95="Solid Fuel",VLOOKUP(F95,'Key Values'!$B$40:$G$58,2,FALSE),
IF(E95="Gaseous Fuel",VLOOKUP(F95,'Key Values'!$B$71:$G$88,2,FALSE),
VLOOKUP(F95,'Key Values'!$B$100:$H$120,2,FALSE))))</f>
        <v>#N/A</v>
      </c>
      <c r="V95" s="1234" t="e" cm="1">
        <f t="array" ref="V95">_xlfn.IFS(K95&lt;&gt;"",K95,E95="Solid Fuel", VLOOKUP(F95,'Key Values'!$B$61:$C$68,2,FALSE),
E95="Liquid fuel",VLOOKUP(F95,'Key Values'!$B$123:$C$143,2,FALSE),
E95="Gaseous Fuel", IF(VLOOKUP(F95,GasFuel[#All],7,FALSE)=TRUE,IF(F95='Key Values'!$B$77,'Hidden Lists and Summaries'!$C$157,VLOOKUP(iq_location,GaseousFuelEmbodiedEmissions[#All],IF(iq_metro="Yes",2,3),FALSE)),'Hidden Lists and Summaries'!$C$157))</f>
        <v>#N/A</v>
      </c>
      <c r="W95" s="1333" t="e" cm="1">
        <f t="array" ref="W95">_xlfn.IFS('Key Values'!$B$35=E95, VLOOKUP(H95,massConv[#All], 2, FALSE),
'Key Values'!$B$36=E95, IF(VLOOKUP(F95,'Key Values'!$B$101:$H$121,3,FALSE)="GJ/t", VLOOKUP(H95,massConv[#All], 2, FALSE), VLOOKUP(H95,volConv[#All], 2, FALSE)),
'Key Values'!$B$37=E95, VLOOKUP(H95,volConv[#All], 2, FALSE)) * G95</f>
        <v>#N/A</v>
      </c>
      <c r="X95" s="1079"/>
      <c r="Y95" s="1079"/>
      <c r="Z95" s="1079"/>
      <c r="AA95" s="1079"/>
      <c r="AB95" s="1079"/>
      <c r="AC95" s="1080"/>
      <c r="AD95" s="1079"/>
      <c r="AE95" s="1079"/>
      <c r="AF95" s="1079"/>
      <c r="AG95"/>
      <c r="AH95"/>
      <c r="AI95"/>
      <c r="AJ95"/>
      <c r="AK95"/>
      <c r="AL95"/>
      <c r="AM95"/>
      <c r="AN95"/>
    </row>
    <row r="96" spans="2:40" s="1069" customFormat="1" ht="15" customHeight="1" x14ac:dyDescent="0.25">
      <c r="B96" s="1095"/>
      <c r="C96" s="1113" t="s">
        <v>294</v>
      </c>
      <c r="D96" s="1096"/>
      <c r="E96" s="384"/>
      <c r="F96" s="385"/>
      <c r="G96" s="387"/>
      <c r="H96" s="380"/>
      <c r="I96" s="388"/>
      <c r="J96" s="389"/>
      <c r="K96" s="486"/>
      <c r="L96" s="1099"/>
      <c r="M96" s="1131"/>
      <c r="N96" s="1131">
        <f>IF(AND(E96="",F96="",G96="",H96="",I96="",J96="",K96=""),0,IFERROR(U96*V96*W96,'Hidden Lists and Summaries'!$C$158))</f>
        <v>0</v>
      </c>
      <c r="O96" s="1131">
        <f>IF(AND(E96="",F96="",G96="",H96="",I96="",J96="",K96=""),0,IFERROR(T96*U96*W96,'Hidden Lists and Summaries'!$C$158))</f>
        <v>0</v>
      </c>
      <c r="P96" s="1132" t="s">
        <v>90</v>
      </c>
      <c r="Q96" s="1099"/>
      <c r="T96" s="1340" t="str">
        <f>IF(I96&lt;&gt;"",I96,
IF(E96="Solid Fuel",VLOOKUP(F96,'Key Values'!$B$40:$G$58,6,FALSE),
IF(E96="Gaseous Fuel", VLOOKUP(F96,'Key Values'!$B$71:$G$88,6,FALSE),
IF(E96="Liquid Fuel", VLOOKUP(F96,'Key Values'!$B$100:$H$120,7,FALSE),
'Hidden Lists and Summaries'!$C$157))))</f>
        <v>No default, please enter a bespoke value</v>
      </c>
      <c r="U96" s="1079" t="e">
        <f>IF(J96&lt;&gt;"",J96,IF(E96="Solid Fuel",VLOOKUP(F96,'Key Values'!$B$40:$G$58,2,FALSE),
IF(E96="Gaseous Fuel",VLOOKUP(F96,'Key Values'!$B$71:$G$88,2,FALSE),
VLOOKUP(F96,'Key Values'!$B$100:$H$120,2,FALSE))))</f>
        <v>#N/A</v>
      </c>
      <c r="V96" s="1234" t="e" cm="1">
        <f t="array" ref="V96">_xlfn.IFS(K96&lt;&gt;"",K96,E96="Solid Fuel", VLOOKUP(F96,'Key Values'!$B$61:$C$68,2,FALSE),
E96="Liquid fuel",VLOOKUP(F96,'Key Values'!$B$123:$C$143,2,FALSE),
E96="Gaseous Fuel", IF(VLOOKUP(F96,GasFuel[#All],7,FALSE)=TRUE,IF(F96='Key Values'!$B$77,'Hidden Lists and Summaries'!$C$157,VLOOKUP(iq_location,GaseousFuelEmbodiedEmissions[#All],IF(iq_metro="Yes",2,3),FALSE)),'Hidden Lists and Summaries'!$C$157))</f>
        <v>#N/A</v>
      </c>
      <c r="W96" s="1333" t="e" cm="1">
        <f t="array" ref="W96">_xlfn.IFS('Key Values'!$B$35=E96, VLOOKUP(H96,massConv[#All], 2, FALSE),
'Key Values'!$B$36=E96, IF(VLOOKUP(F96,'Key Values'!$B$101:$H$121,3,FALSE)="GJ/t", VLOOKUP(H96,massConv[#All], 2, FALSE), VLOOKUP(H96,volConv[#All], 2, FALSE)),
'Key Values'!$B$37=E96, VLOOKUP(H96,volConv[#All], 2, FALSE)) * G96</f>
        <v>#N/A</v>
      </c>
      <c r="X96" s="1079"/>
      <c r="Y96" s="1079"/>
      <c r="Z96" s="1079"/>
      <c r="AA96" s="1079"/>
      <c r="AB96" s="1079"/>
      <c r="AC96" s="1080"/>
      <c r="AD96" s="1079"/>
      <c r="AE96" s="1079"/>
      <c r="AF96" s="1079"/>
      <c r="AG96"/>
      <c r="AH96"/>
      <c r="AI96"/>
      <c r="AJ96"/>
      <c r="AK96"/>
      <c r="AL96"/>
      <c r="AM96"/>
      <c r="AN96"/>
    </row>
    <row r="97" spans="2:40" s="1069" customFormat="1" ht="15" customHeight="1" x14ac:dyDescent="0.25">
      <c r="B97" s="1095"/>
      <c r="C97" s="1113" t="s">
        <v>295</v>
      </c>
      <c r="D97" s="1096"/>
      <c r="E97" s="390"/>
      <c r="F97" s="391"/>
      <c r="G97" s="392"/>
      <c r="H97" s="396"/>
      <c r="I97" s="393"/>
      <c r="J97" s="394"/>
      <c r="K97" s="488"/>
      <c r="L97" s="1099"/>
      <c r="M97" s="1131"/>
      <c r="N97" s="1131">
        <f>IF(AND(E97="",F97="",G97="",H97="",I97="",J97="",K97=""),0,IFERROR(U97*V97*W97,'Hidden Lists and Summaries'!$C$158))</f>
        <v>0</v>
      </c>
      <c r="O97" s="1131">
        <f>IF(AND(E97="",F97="",G97="",H97="",I97="",J97="",K97=""),0,IFERROR(T97*U97*W97,'Hidden Lists and Summaries'!$C$158))</f>
        <v>0</v>
      </c>
      <c r="P97" s="1132" t="s">
        <v>90</v>
      </c>
      <c r="Q97" s="1099"/>
      <c r="T97" s="1407" t="str">
        <f>IF(I97&lt;&gt;"",I97,
IF(E97="Solid Fuel",VLOOKUP(F97,'Key Values'!$B$40:$G$58,6,FALSE),
IF(E97="Gaseous Fuel", VLOOKUP(F97,'Key Values'!$B$71:$G$88,6,FALSE),
IF(E97="Liquid Fuel", VLOOKUP(F97,'Key Values'!$B$100:$H$120,7,FALSE),
'Hidden Lists and Summaries'!$C$157))))</f>
        <v>No default, please enter a bespoke value</v>
      </c>
      <c r="U97" s="1142" t="e">
        <f>IF(J97&lt;&gt;"",J97,IF(E97="Solid Fuel",VLOOKUP(F97,'Key Values'!$B$40:$G$58,2,FALSE),
IF(E97="Gaseous Fuel",VLOOKUP(F97,'Key Values'!$B$71:$G$88,2,FALSE),
VLOOKUP(F97,'Key Values'!$B$100:$H$120,2,FALSE))))</f>
        <v>#N/A</v>
      </c>
      <c r="V97" s="1237" t="e" cm="1">
        <f t="array" ref="V97">_xlfn.IFS(K97&lt;&gt;"",K97,E97="Solid Fuel", VLOOKUP(F97,'Key Values'!$B$61:$C$68,2,FALSE),
E97="Liquid fuel",VLOOKUP(F97,'Key Values'!$B$123:$C$143,2,FALSE),
E97="Gaseous Fuel", IF(VLOOKUP(F97,GasFuel[#All],7,FALSE)=TRUE,IF(F97='Key Values'!$B$77,'Hidden Lists and Summaries'!$C$157,VLOOKUP(iq_location,GaseousFuelEmbodiedEmissions[#All],IF(iq_metro="Yes",2,3),FALSE)),'Hidden Lists and Summaries'!$C$157))</f>
        <v>#N/A</v>
      </c>
      <c r="W97" s="1334" t="e" cm="1">
        <f t="array" ref="W97">_xlfn.IFS('Key Values'!$B$35=E97, VLOOKUP(H97,massConv[#All], 2, FALSE),
'Key Values'!$B$36=E97, IF(VLOOKUP(F97,'Key Values'!$B$101:$H$121,3,FALSE)="GJ/t", VLOOKUP(H97,massConv[#All], 2, FALSE), VLOOKUP(H97,volConv[#All], 2, FALSE)),
'Key Values'!$B$37=E97, VLOOKUP(H97,volConv[#All], 2, FALSE)) * G97</f>
        <v>#N/A</v>
      </c>
      <c r="X97" s="1079"/>
      <c r="Y97" s="1079"/>
      <c r="Z97" s="1079"/>
      <c r="AA97" s="1079"/>
      <c r="AB97" s="1079"/>
      <c r="AC97" s="1080"/>
      <c r="AD97" s="1079"/>
      <c r="AE97" s="1079"/>
      <c r="AF97" s="1079"/>
      <c r="AG97"/>
      <c r="AH97"/>
      <c r="AI97"/>
      <c r="AJ97"/>
      <c r="AK97"/>
      <c r="AL97"/>
      <c r="AM97"/>
      <c r="AN97"/>
    </row>
    <row r="98" spans="2:40" s="1069" customFormat="1" ht="15.65" customHeight="1" x14ac:dyDescent="0.25">
      <c r="B98" s="1105"/>
      <c r="C98" s="1106"/>
      <c r="D98" s="1106"/>
      <c r="E98" s="1106"/>
      <c r="F98" s="1335"/>
      <c r="G98" s="1239"/>
      <c r="H98" s="1115"/>
      <c r="I98" s="1115"/>
      <c r="J98" s="1106"/>
      <c r="K98" s="1106"/>
      <c r="L98" s="1107"/>
      <c r="M98" s="1241" t="s">
        <v>120</v>
      </c>
      <c r="N98" s="1242">
        <f>SUM(N93:N97)</f>
        <v>0</v>
      </c>
      <c r="O98" s="1145">
        <f>SUM(O93:O97)</f>
        <v>0</v>
      </c>
      <c r="P98" s="1146" t="s">
        <v>90</v>
      </c>
      <c r="Q98" s="1107"/>
      <c r="T98" s="1088"/>
      <c r="U98" s="1079"/>
      <c r="V98" s="1079"/>
      <c r="W98" s="1079"/>
      <c r="X98" s="1079"/>
      <c r="Y98" s="1079"/>
      <c r="Z98" s="1079"/>
      <c r="AA98" s="1079"/>
      <c r="AB98" s="1138"/>
      <c r="AC98" s="1080"/>
      <c r="AD98" s="1079"/>
      <c r="AE98" s="1079"/>
      <c r="AF98" s="1079"/>
      <c r="AG98"/>
      <c r="AH98"/>
      <c r="AI98"/>
      <c r="AJ98"/>
      <c r="AK98"/>
      <c r="AL98"/>
      <c r="AM98"/>
      <c r="AN98"/>
    </row>
    <row r="99" spans="2:40" ht="12.75" customHeight="1" x14ac:dyDescent="0.25">
      <c r="T99" s="263"/>
      <c r="AC99" s="261"/>
    </row>
    <row r="100" spans="2:40" ht="12.75" customHeight="1" x14ac:dyDescent="0.25">
      <c r="B100" s="1081"/>
      <c r="C100" s="1082"/>
      <c r="D100" s="1082"/>
      <c r="E100" s="1082"/>
      <c r="F100" s="1082"/>
      <c r="G100" s="1082"/>
      <c r="H100" s="1082"/>
      <c r="I100" s="1082"/>
      <c r="J100" s="1082"/>
      <c r="K100" s="1082"/>
      <c r="L100" s="1082"/>
      <c r="M100" s="1082"/>
      <c r="N100" s="1082"/>
      <c r="O100" s="1082"/>
      <c r="P100" s="1082"/>
      <c r="Q100" s="1083"/>
      <c r="T100" s="263"/>
      <c r="AC100" s="261"/>
    </row>
    <row r="101" spans="2:40" ht="12.75" customHeight="1" x14ac:dyDescent="0.25">
      <c r="B101" s="1084"/>
      <c r="C101" s="1109" t="s">
        <v>718</v>
      </c>
      <c r="D101" s="1086"/>
      <c r="E101" s="1086"/>
      <c r="F101" s="1086"/>
      <c r="G101" s="1086"/>
      <c r="H101" s="1086"/>
      <c r="I101" s="1086"/>
      <c r="J101" s="1086"/>
      <c r="K101" s="1086"/>
      <c r="L101" s="1086"/>
      <c r="M101" s="1086"/>
      <c r="N101" s="1086"/>
      <c r="O101" s="1086"/>
      <c r="P101" s="1086"/>
      <c r="Q101" s="1087"/>
      <c r="T101" s="263"/>
      <c r="AC101" s="261"/>
    </row>
    <row r="102" spans="2:40" ht="12.75" customHeight="1" x14ac:dyDescent="0.25">
      <c r="B102" s="1089"/>
      <c r="C102" s="1090"/>
      <c r="D102" s="1090"/>
      <c r="E102" s="1091" t="s">
        <v>704</v>
      </c>
      <c r="F102" s="1091" t="s">
        <v>719</v>
      </c>
      <c r="G102" s="1253" t="s">
        <v>720</v>
      </c>
      <c r="H102" s="1253" t="s">
        <v>721</v>
      </c>
      <c r="I102" s="1253" t="s">
        <v>722</v>
      </c>
      <c r="J102" s="1090"/>
      <c r="K102" s="1090"/>
      <c r="L102" s="1090"/>
      <c r="M102" s="1090"/>
      <c r="N102" s="1090"/>
      <c r="O102" s="1091"/>
      <c r="P102" s="1090"/>
      <c r="Q102" s="1094"/>
      <c r="T102" s="263"/>
      <c r="AC102" s="261"/>
    </row>
    <row r="103" spans="2:40" ht="12.75" customHeight="1" x14ac:dyDescent="0.25">
      <c r="B103" s="1192"/>
      <c r="C103" s="1193"/>
      <c r="D103" s="1193"/>
      <c r="E103" s="1193"/>
      <c r="F103" s="1193"/>
      <c r="G103" s="1193"/>
      <c r="H103" s="1193"/>
      <c r="I103" s="1193"/>
      <c r="J103" s="1193"/>
      <c r="K103" s="1193"/>
      <c r="L103" s="1193"/>
      <c r="M103" s="1193"/>
      <c r="N103" s="1193"/>
      <c r="O103" s="1193"/>
      <c r="P103" s="1193"/>
      <c r="Q103" s="1195"/>
      <c r="T103" s="1299" t="s">
        <v>723</v>
      </c>
      <c r="U103" s="1299" t="s">
        <v>724</v>
      </c>
      <c r="V103" s="1299" t="s">
        <v>722</v>
      </c>
      <c r="W103" s="1299" t="s">
        <v>706</v>
      </c>
      <c r="X103" s="1299" t="s">
        <v>711</v>
      </c>
      <c r="AC103" s="261"/>
    </row>
    <row r="104" spans="2:40" ht="12.75" customHeight="1" x14ac:dyDescent="0.25">
      <c r="B104" s="36"/>
      <c r="C104" s="37" t="s">
        <v>726</v>
      </c>
      <c r="D104" s="37"/>
      <c r="E104" s="1451"/>
      <c r="F104" s="1452"/>
      <c r="G104" s="1453"/>
      <c r="H104" s="1454"/>
      <c r="I104" s="1455"/>
      <c r="J104" s="37"/>
      <c r="K104" s="37"/>
      <c r="L104" s="37"/>
      <c r="M104" s="37"/>
      <c r="N104" s="37"/>
      <c r="O104" s="37"/>
      <c r="P104" s="37"/>
      <c r="Q104" s="38"/>
      <c r="T104" s="920">
        <f>F104</f>
        <v>0</v>
      </c>
      <c r="U104" s="921" t="e" cm="1">
        <f t="array" ref="U104">_xlfn.IFS($E104='Hidden Lists and Summaries'!$B$146,$G104)</f>
        <v>#N/A</v>
      </c>
      <c r="V104" s="921">
        <f>$I104</f>
        <v>0</v>
      </c>
      <c r="W104" s="921">
        <f>$H104</f>
        <v>0</v>
      </c>
      <c r="X104" s="922" cm="1">
        <f t="array" ref="X104">_xlfn.IFS($E104='Hidden Lists and Summaries'!$B$146,$T104-$U104,$E104='Hidden Lists and Summaries'!$B$147,$T104*$V104*$W104,TRUE,0)</f>
        <v>0</v>
      </c>
      <c r="Y104" s="322"/>
      <c r="Z104" s="322"/>
      <c r="AA104" s="322"/>
      <c r="AB104" s="322"/>
      <c r="AC104" s="924"/>
    </row>
    <row r="105" spans="2:40" ht="12.75" customHeight="1" x14ac:dyDescent="0.25">
      <c r="B105" s="39"/>
      <c r="C105" s="1375"/>
      <c r="D105" s="1375"/>
      <c r="E105" s="1375"/>
      <c r="F105" s="1375"/>
      <c r="G105" s="1375"/>
      <c r="H105" s="1375"/>
      <c r="I105" s="1375"/>
      <c r="J105" s="1375"/>
      <c r="K105" s="1375"/>
      <c r="L105" s="1375"/>
      <c r="M105" s="1375"/>
      <c r="N105" s="1375"/>
      <c r="O105" s="1375"/>
      <c r="P105" s="1375"/>
      <c r="Q105" s="40"/>
    </row>
    <row r="110" spans="2:40" ht="12.75" customHeight="1" x14ac:dyDescent="0.3">
      <c r="F110" s="228" t="s">
        <v>727</v>
      </c>
      <c r="G110" t="s">
        <v>728</v>
      </c>
      <c r="H110" s="227" t="s">
        <v>729</v>
      </c>
      <c r="I110" t="s">
        <v>81</v>
      </c>
    </row>
    <row r="111" spans="2:40" ht="12.75" customHeight="1" x14ac:dyDescent="0.3">
      <c r="F111" s="1408" t="s">
        <v>389</v>
      </c>
      <c r="G111" s="790" t="s">
        <v>257</v>
      </c>
      <c r="H111" s="1382">
        <f>P22+P32+P50</f>
        <v>0</v>
      </c>
      <c r="I111" s="790" t="s">
        <v>730</v>
      </c>
    </row>
    <row r="112" spans="2:40" ht="12.75" customHeight="1" x14ac:dyDescent="0.25">
      <c r="G112" t="s">
        <v>665</v>
      </c>
      <c r="H112" s="227">
        <f>O22+O32+O50</f>
        <v>0</v>
      </c>
      <c r="I112" t="s">
        <v>730</v>
      </c>
    </row>
    <row r="113" spans="6:9" ht="12.75" customHeight="1" x14ac:dyDescent="0.25">
      <c r="G113" t="s">
        <v>731</v>
      </c>
      <c r="H113" s="227">
        <f>P42</f>
        <v>0</v>
      </c>
      <c r="I113" t="s">
        <v>730</v>
      </c>
    </row>
    <row r="114" spans="6:9" ht="12.75" customHeight="1" x14ac:dyDescent="0.25">
      <c r="G114" t="s">
        <v>732</v>
      </c>
      <c r="H114" s="227">
        <f>O42</f>
        <v>0</v>
      </c>
      <c r="I114" t="s">
        <v>730</v>
      </c>
    </row>
    <row r="115" spans="6:9" ht="12.75" customHeight="1" x14ac:dyDescent="0.3">
      <c r="G115" s="228" t="s">
        <v>733</v>
      </c>
      <c r="H115" s="227">
        <f>SUM(H113:H114)</f>
        <v>0</v>
      </c>
      <c r="I115" t="s">
        <v>730</v>
      </c>
    </row>
    <row r="116" spans="6:9" ht="12.75" customHeight="1" x14ac:dyDescent="0.3">
      <c r="G116" s="228" t="s">
        <v>734</v>
      </c>
      <c r="H116" s="227">
        <f>H112+H111-H115</f>
        <v>0</v>
      </c>
      <c r="I116" t="s">
        <v>730</v>
      </c>
    </row>
    <row r="117" spans="6:9" ht="12.75" customHeight="1" x14ac:dyDescent="0.3">
      <c r="F117" s="228" t="s">
        <v>390</v>
      </c>
      <c r="G117" t="s">
        <v>257</v>
      </c>
      <c r="H117" s="227">
        <f>N98+O85</f>
        <v>0</v>
      </c>
      <c r="I117" t="s">
        <v>730</v>
      </c>
    </row>
    <row r="118" spans="6:9" ht="12.75" customHeight="1" x14ac:dyDescent="0.25">
      <c r="G118" t="s">
        <v>259</v>
      </c>
      <c r="H118" s="227">
        <f>O98+O86</f>
        <v>0</v>
      </c>
      <c r="I118" t="s">
        <v>730</v>
      </c>
    </row>
    <row r="119" spans="6:9" ht="12.75" customHeight="1" x14ac:dyDescent="0.25">
      <c r="G119" t="s">
        <v>240</v>
      </c>
      <c r="H119" s="227">
        <f>O84</f>
        <v>0</v>
      </c>
      <c r="I119" t="s">
        <v>730</v>
      </c>
    </row>
    <row r="120" spans="6:9" ht="12.75" customHeight="1" x14ac:dyDescent="0.3">
      <c r="G120" s="228" t="s">
        <v>735</v>
      </c>
      <c r="H120" s="227">
        <f>SUM(H117:H119)</f>
        <v>0</v>
      </c>
      <c r="I120" t="s">
        <v>730</v>
      </c>
    </row>
    <row r="121" spans="6:9" ht="12.75" customHeight="1" x14ac:dyDescent="0.3">
      <c r="F121" s="228" t="s">
        <v>736</v>
      </c>
      <c r="G121" t="s">
        <v>877</v>
      </c>
      <c r="H121">
        <f>SUM(X64:X67) *1000</f>
        <v>0</v>
      </c>
      <c r="I121" t="s">
        <v>90</v>
      </c>
    </row>
    <row r="122" spans="6:9" ht="12.75" customHeight="1" x14ac:dyDescent="0.3">
      <c r="F122" s="228"/>
      <c r="G122" t="s">
        <v>878</v>
      </c>
      <c r="H122">
        <f>SUM(Y74:Y75)*1000</f>
        <v>0</v>
      </c>
      <c r="I122" t="s">
        <v>90</v>
      </c>
    </row>
    <row r="123" spans="6:9" ht="12.75" customHeight="1" x14ac:dyDescent="0.25">
      <c r="G123" t="s">
        <v>726</v>
      </c>
      <c r="H123">
        <f>X104*1000</f>
        <v>0</v>
      </c>
      <c r="I123" t="s">
        <v>90</v>
      </c>
    </row>
    <row r="124" spans="6:9" ht="12.75" customHeight="1" x14ac:dyDescent="0.3">
      <c r="G124" s="228" t="s">
        <v>393</v>
      </c>
      <c r="H124">
        <f>SUM(H121:H123)</f>
        <v>0</v>
      </c>
      <c r="I124" t="s">
        <v>90</v>
      </c>
    </row>
    <row r="125" spans="6:9" ht="12.75" customHeight="1" x14ac:dyDescent="0.3">
      <c r="F125" s="228" t="s">
        <v>740</v>
      </c>
      <c r="G125" t="s">
        <v>879</v>
      </c>
      <c r="H125" s="227" t="str">
        <f>IF(F8="","Dedicated Pipeline",F8)</f>
        <v>Dedicated Pipeline</v>
      </c>
    </row>
    <row r="126" spans="6:9" ht="12.75" customHeight="1" x14ac:dyDescent="0.25">
      <c r="G126" t="s">
        <v>880</v>
      </c>
      <c r="H126" s="227">
        <f>IF(F8="",E48,G18)</f>
        <v>0</v>
      </c>
      <c r="I126" t="s">
        <v>743</v>
      </c>
    </row>
    <row r="127" spans="6:9" ht="12.75" customHeight="1" x14ac:dyDescent="0.25">
      <c r="G127" t="s">
        <v>881</v>
      </c>
      <c r="H127">
        <f>I104</f>
        <v>0</v>
      </c>
      <c r="I127" t="s">
        <v>745</v>
      </c>
    </row>
  </sheetData>
  <dataConsolidate/>
  <mergeCells count="5">
    <mergeCell ref="H89:J89"/>
    <mergeCell ref="I90:I91"/>
    <mergeCell ref="J90:J91"/>
    <mergeCell ref="K90:K91"/>
    <mergeCell ref="B3:Q3"/>
  </mergeCells>
  <conditionalFormatting sqref="E18:H21">
    <cfRule type="expression" dxfId="111" priority="204">
      <formula>$Y18=FALSE</formula>
    </cfRule>
  </conditionalFormatting>
  <conditionalFormatting sqref="E38:I41">
    <cfRule type="expression" dxfId="110" priority="207">
      <formula>$AC38=FALSE</formula>
    </cfRule>
  </conditionalFormatting>
  <conditionalFormatting sqref="E28:J31 E56:H57">
    <cfRule type="expression" dxfId="109" priority="208">
      <formula>$AA28=FALSE</formula>
    </cfRule>
  </conditionalFormatting>
  <conditionalFormatting sqref="G38:G41">
    <cfRule type="expression" dxfId="106" priority="205">
      <formula>$AA38=TRUE</formula>
    </cfRule>
  </conditionalFormatting>
  <conditionalFormatting sqref="H8:H11">
    <cfRule type="expression" dxfId="103" priority="1">
      <formula>$X9=FALSE</formula>
    </cfRule>
  </conditionalFormatting>
  <conditionalFormatting sqref="H93:H97">
    <cfRule type="expression" dxfId="101" priority="209">
      <formula>AND(NOT(ISNUMBER(W93)),$F93&lt;&gt;"")</formula>
    </cfRule>
  </conditionalFormatting>
  <conditionalFormatting sqref="I38:I41">
    <cfRule type="expression" dxfId="99" priority="206">
      <formula>$AB38=TRUE</formula>
    </cfRule>
  </conditionalFormatting>
  <conditionalFormatting sqref="K93:L97">
    <cfRule type="expression" dxfId="97" priority="210">
      <formula>AND(NOT(ISNUMBER($V93)),$F93&lt;&gt;"")</formula>
    </cfRule>
  </conditionalFormatting>
  <dataValidations count="19">
    <dataValidation type="decimal" operator="greaterThanOrEqual" allowBlank="1" showInputMessage="1" showErrorMessage="1" sqref="G93:G97" xr:uid="{B9B70EB8-873C-43A8-8B4B-5EE7BF77C427}">
      <formula1>0</formula1>
    </dataValidation>
    <dataValidation type="decimal" operator="greaterThan" allowBlank="1" showInputMessage="1" showErrorMessage="1" prompt="If no bespoke factor entered, a default will be selected." sqref="I93:J97" xr:uid="{52844312-BD77-4A6B-8920-C3AE8941ED21}">
      <formula1>0</formula1>
    </dataValidation>
    <dataValidation type="decimal" operator="greaterThanOrEqual" allowBlank="1" showInputMessage="1" showErrorMessage="1" prompt="If no bespoke factor is entered a default will be selected._x000a__x000a_Note no defaults exist for some fuels. Cell will appear red if no default exists_x000a_" sqref="K93:K97" xr:uid="{ACBBAE3E-9A0E-4534-8FB2-D5020A5A50DD}">
      <formula1>0</formula1>
    </dataValidation>
    <dataValidation allowBlank="1" showDropDown="1" showInputMessage="1" showErrorMessage="1" sqref="Z86 C86 Y82:Y85 C82" xr:uid="{7E4B4A34-1F5D-4F86-930D-5382D97B56F3}"/>
    <dataValidation allowBlank="1" showDropDown="1" showInputMessage="1" showErrorMessage="1" prompt="Includes renewables from both onsite generation and purchased REC's" sqref="C83" xr:uid="{8C2BCC65-7A78-4E22-820B-FF7ECDB4CE3C}"/>
    <dataValidation type="decimal" operator="greaterThanOrEqual" allowBlank="1" showInputMessage="1" showErrorMessage="1" error="Value must be greater than or equal to zero." prompt="Input total electricity consumption allocated to this process from all electricity sources" sqref="E82" xr:uid="{CAD93CF6-D6E2-4A44-A0AE-74C4A5CCFB4F}">
      <formula1>0</formula1>
    </dataValidation>
    <dataValidation type="decimal" operator="greaterThanOrEqual" allowBlank="1" showInputMessage="1" showErrorMessage="1" error="Value must be greater than or equal to zero." prompt="Input total quantity of renewable electricity allocated to this process. Value must be less than or equal to the total renewable electricity input into 'Electricity Usage' tab." sqref="E83" xr:uid="{827F54A7-D4D8-4B12-8B8C-07EE28F0F738}">
      <formula1>0</formula1>
    </dataValidation>
    <dataValidation type="decimal" operator="greaterThanOrEqual" allowBlank="1" showInputMessage="1" showErrorMessage="1" error="Value must be greater than or equal to zero." prompt="Input total quantity of grid electricity allocated to this process. Value must be less than or equal to the total grid electricity input into 'Electricity Usage' tab." sqref="E85" xr:uid="{BB591BED-5893-4F88-8697-248F102F019E}">
      <formula1>0</formula1>
    </dataValidation>
    <dataValidation type="decimal" operator="greaterThanOrEqual" allowBlank="1" showInputMessage="1" showErrorMessage="1" error="Value must be greater than or equal to zero." prompt="Input total quantity of onsite electricity generated via fuel combustion allocated to this process. Value must be less than or equal to the total input into 'Electricity Usage' tab." sqref="E86" xr:uid="{EB03E5AA-975F-4D3A-8228-8D20AB42380D}">
      <formula1>0</formula1>
    </dataValidation>
    <dataValidation type="list" allowBlank="1" showInputMessage="1" showErrorMessage="1" sqref="E64:E67 E104 E74:E75" xr:uid="{3AB1C5AC-3B17-4FD2-A695-849282665F71}">
      <formula1>Loss_Correction_Method_Options_List</formula1>
    </dataValidation>
    <dataValidation type="list" allowBlank="1" showInputMessage="1" showErrorMessage="1" sqref="E56:E57 E38:E41" xr:uid="{5ECDD11B-19C2-4F58-AEEA-28F4267BDB47}">
      <formula1>Transport_Route_Types_List</formula1>
    </dataValidation>
    <dataValidation type="list" allowBlank="1" showInputMessage="1" showErrorMessage="1" sqref="F8:F11" xr:uid="{7F4860B6-68CF-4E67-B280-0759ADF23B42}">
      <formula1>Transport_Vehicle_Types_List</formula1>
    </dataValidation>
    <dataValidation type="list" allowBlank="1" showInputMessage="1" showErrorMessage="1" sqref="H8:H11" xr:uid="{3E8DE5BA-0C8C-41DE-9D51-B7C926D58385}">
      <formula1>heavy_vehicle_design_standards_options</formula1>
    </dataValidation>
    <dataValidation type="list" allowBlank="1" showInputMessage="1" showErrorMessage="1" sqref="G8:G11" xr:uid="{E197BC7F-8548-47D5-B87A-1082B3FAE7E7}">
      <formula1>Transport_fuel_options_list</formula1>
    </dataValidation>
    <dataValidation type="list" allowBlank="1" showInputMessage="1" showErrorMessage="1" sqref="E28:E31" xr:uid="{5C7A1982-9E79-4558-9CED-786D4E507407}">
      <formula1>Load_Distance_Measure_Type_List</formula1>
    </dataValidation>
    <dataValidation type="list" allowBlank="1" showInputMessage="1" showErrorMessage="1" sqref="E18:E21" xr:uid="{4B69FDCA-FB80-4070-A3DC-E3FB838EA02B}">
      <formula1>Fuel_Consumption_Measurement_Type_List</formula1>
    </dataValidation>
    <dataValidation type="list" allowBlank="1" showInputMessage="1" showErrorMessage="1" sqref="E8:E11" xr:uid="{4B7F0037-0D6B-4E5D-B6DE-F309EA997B05}">
      <formula1>Transport_Emissions_Estimation_Methods_List</formula1>
    </dataValidation>
    <dataValidation type="decimal" operator="greaterThanOrEqual" allowBlank="1" showInputMessage="1" showErrorMessage="1" prompt="Leave blank to use a default value" sqref="I8:K11 H18:H21 H28:H31" xr:uid="{EA839F43-87A4-47B2-A6E9-AE5C7EB21D08}">
      <formula1>0</formula1>
    </dataValidation>
    <dataValidation type="list" allowBlank="1" showDropDown="1" showInputMessage="1" showErrorMessage="1" sqref="F82:F83 F85:F86" xr:uid="{FD25F978-784C-4684-8745-7FA1514E2DCD}">
      <formula1>Energy_Units_Options</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97" id="{337D09AF-EDD1-44A0-B8A7-314567BCDA63}">
            <xm:f>$E18='Hidden Lists and Summaries'!$B$83</xm:f>
            <x14:dxf>
              <fill>
                <patternFill patternType="lightUp">
                  <bgColor rgb="FFE6E7E8"/>
                </patternFill>
              </fill>
            </x14:dxf>
          </x14:cfRule>
          <xm:sqref>F18:F21</xm:sqref>
        </x14:conditionalFormatting>
        <x14:conditionalFormatting xmlns:xm="http://schemas.microsoft.com/office/excel/2006/main">
          <x14:cfRule type="expression" priority="333" id="{D24FD304-A994-4D5D-AB4F-23D0800D5836}">
            <xm:f>$E64='Hidden Lists and Summaries'!$B$147</xm:f>
            <x14:dxf>
              <fill>
                <patternFill patternType="lightUp">
                  <bgColor rgb="FFE6E7E8"/>
                </patternFill>
              </fill>
            </x14:dxf>
          </x14:cfRule>
          <xm:sqref>F64:F67 F74:F75</xm:sqref>
        </x14:conditionalFormatting>
        <x14:conditionalFormatting xmlns:xm="http://schemas.microsoft.com/office/excel/2006/main">
          <x14:cfRule type="expression" priority="296" id="{4FF0DAE4-EED5-42FC-9326-738E30517D92}">
            <xm:f>$E18='Hidden Lists and Summaries'!$B$82</xm:f>
            <x14:dxf>
              <fill>
                <patternFill patternType="lightUp">
                  <bgColor rgb="FFE6E7E8"/>
                </patternFill>
              </fill>
            </x14:dxf>
          </x14:cfRule>
          <xm:sqref>G18:H21</xm:sqref>
        </x14:conditionalFormatting>
        <x14:conditionalFormatting xmlns:xm="http://schemas.microsoft.com/office/excel/2006/main">
          <x14:cfRule type="expression" priority="331" id="{EC89CF5B-6932-4BF9-964B-0B345522B92B}">
            <xm:f>$E64='Hidden Lists and Summaries'!$B$146</xm:f>
            <x14:dxf>
              <fill>
                <patternFill patternType="lightUp">
                  <bgColor rgb="FFE6E7E8"/>
                </patternFill>
              </fill>
            </x14:dxf>
          </x14:cfRule>
          <xm:sqref>G64:H67 G74:H75</xm:sqref>
        </x14:conditionalFormatting>
        <x14:conditionalFormatting xmlns:xm="http://schemas.microsoft.com/office/excel/2006/main">
          <x14:cfRule type="expression" priority="294" id="{839DDD27-183E-4DFD-8072-B6C97A74579E}">
            <xm:f>$E28='Hidden Lists and Summaries'!$B$87</xm:f>
            <x14:dxf>
              <fill>
                <patternFill patternType="lightUp">
                  <bgColor rgb="FFE6E7E8"/>
                </patternFill>
              </fill>
            </x14:dxf>
          </x14:cfRule>
          <xm:sqref>H28:H31</xm:sqref>
        </x14:conditionalFormatting>
        <x14:conditionalFormatting xmlns:xm="http://schemas.microsoft.com/office/excel/2006/main">
          <x14:cfRule type="expression" priority="330" stopIfTrue="1" id="{517CE569-B633-4196-AEB4-C4E8CAB82659}">
            <xm:f>$E38='Hidden Lists and Summaries'!$B$142</xm:f>
            <x14:dxf>
              <fill>
                <patternFill patternType="lightUp">
                  <bgColor rgb="FFE6E7E8"/>
                </patternFill>
              </fill>
              <border>
                <vertical/>
                <horizontal/>
              </border>
            </x14:dxf>
          </x14:cfRule>
          <xm:sqref>H38:I41</xm:sqref>
        </x14:conditionalFormatting>
        <x14:conditionalFormatting xmlns:xm="http://schemas.microsoft.com/office/excel/2006/main">
          <x14:cfRule type="expression" priority="295" id="{944BDB0B-A4AE-4385-8CDF-9896AD5BBCDE}">
            <xm:f>$E28='Hidden Lists and Summaries'!$B$86</xm:f>
            <x14:dxf>
              <fill>
                <patternFill patternType="lightUp">
                  <bgColor rgb="FFE6E7E8"/>
                </patternFill>
              </fill>
            </x14:dxf>
          </x14:cfRule>
          <xm:sqref>I28:J31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E8116DC-7929-4F35-AEF9-5EB561C1895A}">
          <x14:formula1>
            <xm:f>'Key Values'!$B$35:$B$37</xm:f>
          </x14:formula1>
          <xm:sqref>E93:E97</xm:sqref>
        </x14:dataValidation>
        <x14:dataValidation type="list" allowBlank="1" showInputMessage="1" showErrorMessage="1" xr:uid="{B80FA17E-42AC-4540-AFEE-A73547F2D0BF}">
          <x14:formula1>
            <xm:f>IF(E93="Solid Fuel", 'Key Values'!$B$41:$B$58,IF(E93="Gaseous Fuel",'Key Values'!$B$72:$B$85,'Key Values'!$B$101:$B$120))</xm:f>
          </x14:formula1>
          <xm:sqref>F93:F97</xm:sqref>
        </x14:dataValidation>
        <x14:dataValidation type="list" allowBlank="1" showInputMessage="1" showErrorMessage="1" prompt="Cell will appear red if incompatible unit is selected" xr:uid="{E9D672D4-0F8B-4ED7-AAC9-DACA58718A61}">
          <x14:formula1>
            <xm:f>IF(OR(AND(E93="Liquid Fuel", _xlfn.IFNA(VLOOKUP(F93,'Key Values'!$B$101:$H$120,3,FALSE)="GJ/t", FALSE) ),E93="Solid Fuel"),'Key Values'!$B$291:$B$292, 'Key Values'!$B$296:$B$298)</xm:f>
          </x14:formula1>
          <xm:sqref>H93:H97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AA6F-D0F8-4961-98F0-1FAF6629DBE9}">
  <sheetPr>
    <tabColor theme="4" tint="-0.249977111117893"/>
  </sheetPr>
  <dimension ref="A1:M168"/>
  <sheetViews>
    <sheetView showGridLines="0" showZeros="0" workbookViewId="0">
      <selection activeCell="C47" sqref="C47"/>
    </sheetView>
  </sheetViews>
  <sheetFormatPr defaultColWidth="9.1796875" defaultRowHeight="12.5" zeroHeight="1" x14ac:dyDescent="0.25"/>
  <cols>
    <col min="1" max="2" width="9.1796875" customWidth="1"/>
    <col min="3" max="3" width="67.453125" bestFit="1" customWidth="1"/>
    <col min="4" max="4" width="39.54296875" bestFit="1" customWidth="1"/>
    <col min="5" max="5" width="24.81640625" bestFit="1" customWidth="1"/>
    <col min="6" max="6" width="39.81640625" bestFit="1" customWidth="1"/>
    <col min="7" max="7" width="9" customWidth="1"/>
    <col min="8" max="9" width="9.1796875" customWidth="1"/>
    <col min="10" max="10" width="59" customWidth="1"/>
    <col min="11" max="11" width="9.1796875" customWidth="1"/>
    <col min="12" max="12" width="19.81640625" customWidth="1"/>
    <col min="13" max="13" width="36.453125" customWidth="1"/>
    <col min="14" max="18" width="9.1796875" customWidth="1"/>
    <col min="19" max="19" width="27.54296875" customWidth="1"/>
  </cols>
  <sheetData>
    <row r="1" spans="2:13" ht="171" customHeight="1" x14ac:dyDescent="0.25"/>
    <row r="2" spans="2:13" ht="30" customHeight="1" x14ac:dyDescent="0.25">
      <c r="B2" s="1911" t="s">
        <v>746</v>
      </c>
      <c r="C2" s="1911"/>
      <c r="D2" s="1911"/>
      <c r="E2" s="1911"/>
      <c r="F2" s="1911"/>
      <c r="G2" s="1911"/>
    </row>
    <row r="3" spans="2:13" ht="15.5" x14ac:dyDescent="0.25">
      <c r="B3" s="115"/>
      <c r="C3" s="116"/>
      <c r="D3" s="625"/>
      <c r="E3" s="625"/>
      <c r="F3" s="626"/>
      <c r="G3" s="117"/>
      <c r="H3" s="43"/>
      <c r="J3" s="73" t="s">
        <v>747</v>
      </c>
    </row>
    <row r="4" spans="2:13" ht="15.5" x14ac:dyDescent="0.25">
      <c r="B4" s="118"/>
      <c r="C4" s="119" t="s">
        <v>30</v>
      </c>
      <c r="D4" s="627"/>
      <c r="E4" s="627"/>
      <c r="F4" s="628"/>
      <c r="G4" s="120"/>
      <c r="H4" s="43"/>
      <c r="J4" t="e">
        <f>VLOOKUP(iq_conditioningProcess,L4:M7,2,FALSE) &amp; "[[Reporting Item]:[Value3]]"</f>
        <v>#N/A</v>
      </c>
      <c r="L4" t="str" cm="1">
        <f t="array" ref="L4:L7">Table40[Hydrogen Conditioning Process]</f>
        <v>Ammonia Production</v>
      </c>
      <c r="M4" t="s">
        <v>882</v>
      </c>
    </row>
    <row r="5" spans="2:13" ht="15.5" x14ac:dyDescent="0.25">
      <c r="B5" s="179"/>
      <c r="C5" s="180"/>
      <c r="D5" s="181"/>
      <c r="E5" s="181"/>
      <c r="F5" s="620"/>
      <c r="G5" s="183"/>
      <c r="H5" s="43"/>
      <c r="L5" t="str">
        <v>Hydrogen Liquefaction</v>
      </c>
      <c r="M5" t="s">
        <v>883</v>
      </c>
    </row>
    <row r="6" spans="2:13" ht="15.5" x14ac:dyDescent="0.25">
      <c r="B6" s="46"/>
      <c r="C6" s="47"/>
      <c r="D6" s="75"/>
      <c r="E6" s="75"/>
      <c r="F6" s="629"/>
      <c r="G6" s="49"/>
      <c r="H6" s="43"/>
      <c r="L6" t="str">
        <v>LOHC - Hydrogenation</v>
      </c>
      <c r="M6" t="s">
        <v>884</v>
      </c>
    </row>
    <row r="7" spans="2:13" ht="15.5" x14ac:dyDescent="0.25">
      <c r="B7" s="46"/>
      <c r="C7" s="156" t="s">
        <v>401</v>
      </c>
      <c r="D7" s="692"/>
      <c r="E7" s="656" t="str">
        <f ca="1">IFERROR(IF(C7&lt;&gt;"",VLOOKUP($C7,INDIRECT($J$4),3,FALSE),""),"")</f>
        <v/>
      </c>
      <c r="F7" s="657" t="str">
        <f ca="1">IFERROR(IF(C7&lt;&gt;"",VLOOKUP($C7,INDIRECT($J$4),4,FALSE),""),"")</f>
        <v/>
      </c>
      <c r="G7" s="49"/>
      <c r="H7" s="43"/>
      <c r="L7" t="str">
        <v>N/A</v>
      </c>
    </row>
    <row r="8" spans="2:13" ht="15.5" x14ac:dyDescent="0.25">
      <c r="B8" s="46"/>
      <c r="C8" s="156" t="s">
        <v>402</v>
      </c>
      <c r="D8" s="693"/>
      <c r="E8" s="658" t="str">
        <f ca="1">IFERROR(IF(C8&lt;&gt;"",VLOOKUP($C8,INDIRECT($J$4),3,FALSE),""),"")</f>
        <v/>
      </c>
      <c r="F8" s="659" t="str">
        <f ca="1">IFERROR(IF(C8&lt;&gt;"",VLOOKUP($C8,INDIRECT($J$4),4,FALSE),""),"")</f>
        <v/>
      </c>
      <c r="G8" s="49"/>
      <c r="H8" s="43"/>
    </row>
    <row r="9" spans="2:13" ht="15.5" x14ac:dyDescent="0.25">
      <c r="B9" s="46"/>
      <c r="C9" s="156" t="s">
        <v>403</v>
      </c>
      <c r="D9" s="693"/>
      <c r="E9" s="658" t="str">
        <f ca="1">IFERROR(IF(C9&lt;&gt;"",VLOOKUP($C9,INDIRECT($J$4),3,FALSE),""),"")</f>
        <v/>
      </c>
      <c r="F9" s="659" t="str">
        <f ca="1">IFERROR(IF(C9&lt;&gt;"",VLOOKUP($C9,INDIRECT($J$4),4,FALSE),""),"")</f>
        <v/>
      </c>
      <c r="G9" s="49"/>
      <c r="H9" s="43"/>
    </row>
    <row r="10" spans="2:13" ht="15.5" x14ac:dyDescent="0.25">
      <c r="B10" s="53"/>
      <c r="C10" s="89" t="s">
        <v>405</v>
      </c>
      <c r="D10" s="113"/>
      <c r="E10" s="694" t="str">
        <f ca="1">IFERROR(IF(C10&lt;&gt;"",VLOOKUP($C10,INDIRECT($J$4),3,FALSE),""),"")</f>
        <v/>
      </c>
      <c r="F10" s="676" t="str">
        <f ca="1">IFERROR(IF(C10&lt;&gt;"",VLOOKUP($C10,INDIRECT($J$4),4,FALSE),""),"")</f>
        <v/>
      </c>
      <c r="G10" s="55"/>
      <c r="H10" s="43"/>
    </row>
    <row r="11" spans="2:13" ht="15.5" x14ac:dyDescent="0.35">
      <c r="D11" s="630"/>
      <c r="E11" s="630"/>
      <c r="F11" s="630"/>
      <c r="H11" s="43"/>
    </row>
    <row r="12" spans="2:13" ht="15.5" x14ac:dyDescent="0.25">
      <c r="B12" s="115"/>
      <c r="C12" s="116"/>
      <c r="D12" s="625"/>
      <c r="E12" s="625"/>
      <c r="F12" s="626"/>
      <c r="G12" s="117"/>
      <c r="H12" s="43"/>
    </row>
    <row r="13" spans="2:13" ht="15.5" x14ac:dyDescent="0.25">
      <c r="B13" s="118"/>
      <c r="C13" s="119" t="s">
        <v>752</v>
      </c>
      <c r="D13" s="627"/>
      <c r="E13" s="627"/>
      <c r="F13" s="628"/>
      <c r="G13" s="120"/>
      <c r="H13" s="43"/>
    </row>
    <row r="14" spans="2:13" ht="15.5" x14ac:dyDescent="0.25">
      <c r="B14" s="179"/>
      <c r="C14" s="180"/>
      <c r="D14" s="181"/>
      <c r="E14" s="181"/>
      <c r="F14" s="620"/>
      <c r="G14" s="183"/>
      <c r="H14" s="43"/>
    </row>
    <row r="15" spans="2:13" ht="15.5" x14ac:dyDescent="0.25">
      <c r="B15" s="46"/>
      <c r="C15" s="47"/>
      <c r="D15" s="75"/>
      <c r="E15" s="75"/>
      <c r="F15" s="629"/>
      <c r="G15" s="49"/>
      <c r="H15" s="43"/>
    </row>
    <row r="16" spans="2:13" ht="15.5" x14ac:dyDescent="0.25">
      <c r="B16" s="46"/>
      <c r="C16" s="156" t="s">
        <v>822</v>
      </c>
      <c r="D16" s="684"/>
      <c r="E16" s="711" t="str">
        <f ca="1">IFERROR(IF(C16&lt;&gt;"",VLOOKUP($C16,INDIRECT($J$4),3,FALSE),""),"")</f>
        <v/>
      </c>
      <c r="F16" s="657" t="str">
        <f ca="1">IFERROR(IF(C16&lt;&gt;"",VLOOKUP($C16,INDIRECT($J$4),4,FALSE),""),"")</f>
        <v/>
      </c>
      <c r="G16" s="49"/>
      <c r="H16" s="43"/>
    </row>
    <row r="17" spans="1:8" ht="15.5" x14ac:dyDescent="0.25">
      <c r="B17" s="46"/>
      <c r="C17" s="156" t="s">
        <v>823</v>
      </c>
      <c r="D17" s="685"/>
      <c r="E17" s="658" t="str">
        <f ca="1">IFERROR(IF(C17&lt;&gt;"",VLOOKUP($C17,INDIRECT($J$4),3,FALSE),""),"")</f>
        <v/>
      </c>
      <c r="F17" s="659" t="str">
        <f ca="1">IFERROR(IF(C17&lt;&gt;"",VLOOKUP($C17,INDIRECT($J$4),4,FALSE),""),"")</f>
        <v/>
      </c>
      <c r="G17" s="49"/>
      <c r="H17" s="43"/>
    </row>
    <row r="18" spans="1:8" ht="15.5" x14ac:dyDescent="0.25">
      <c r="B18" s="46"/>
      <c r="C18" s="156" t="s">
        <v>885</v>
      </c>
      <c r="D18" s="685"/>
      <c r="E18" s="712" t="str">
        <f ca="1">IFERROR(IF(C18&lt;&gt;"",VLOOKUP($C18,INDIRECT($J$4),3,FALSE),""),"")</f>
        <v/>
      </c>
      <c r="F18" s="659" t="str">
        <f ca="1">IFERROR(IF(C18&lt;&gt;"",VLOOKUP($C18,INDIRECT($J$4),4,FALSE),""),"")</f>
        <v/>
      </c>
      <c r="G18" s="49"/>
      <c r="H18" s="43"/>
    </row>
    <row r="19" spans="1:8" ht="15.5" x14ac:dyDescent="0.25">
      <c r="B19" s="46"/>
      <c r="C19" s="887" t="s">
        <v>410</v>
      </c>
      <c r="D19" s="685"/>
      <c r="E19" s="658" t="str">
        <f ca="1">IFERROR(IF(C19&lt;&gt;"",VLOOKUP($C19,INDIRECT($J$4),3,FALSE),""),"")</f>
        <v/>
      </c>
      <c r="F19" s="659" t="str">
        <f ca="1">IFERROR(IF(C19&lt;&gt;"",VLOOKUP($C19,INDIRECT($J$4),4,FALSE),""),"")</f>
        <v/>
      </c>
      <c r="G19" s="148"/>
      <c r="H19" s="43"/>
    </row>
    <row r="20" spans="1:8" ht="15.5" x14ac:dyDescent="0.25">
      <c r="A20" s="261"/>
      <c r="B20" s="53"/>
      <c r="C20" s="889" t="s">
        <v>393</v>
      </c>
      <c r="D20" s="888"/>
      <c r="E20" s="662" t="str">
        <f ca="1">IFERROR(IF(C20&lt;&gt;"",VLOOKUP($C20,INDIRECT($J$4),3,FALSE),""),"")</f>
        <v/>
      </c>
      <c r="F20" s="676" t="str">
        <f ca="1">IFERROR(IF(C20&lt;&gt;"",VLOOKUP($C20,INDIRECT($J$4),4,FALSE),""),"")</f>
        <v/>
      </c>
      <c r="G20" s="55"/>
      <c r="H20" s="43"/>
    </row>
    <row r="21" spans="1:8" ht="15.5" x14ac:dyDescent="0.25">
      <c r="B21" s="43"/>
      <c r="C21" s="43"/>
      <c r="D21" s="43"/>
      <c r="E21" s="43"/>
      <c r="F21" s="622"/>
      <c r="G21" s="43"/>
      <c r="H21" s="70"/>
    </row>
    <row r="22" spans="1:8" ht="15.5" x14ac:dyDescent="0.25">
      <c r="B22" s="115"/>
      <c r="C22" s="116"/>
      <c r="D22" s="625"/>
      <c r="E22" s="625"/>
      <c r="F22" s="626"/>
      <c r="G22" s="117"/>
      <c r="H22" s="43"/>
    </row>
    <row r="23" spans="1:8" ht="15.5" x14ac:dyDescent="0.25">
      <c r="B23" s="118"/>
      <c r="C23" s="119" t="s">
        <v>37</v>
      </c>
      <c r="D23" s="627"/>
      <c r="E23" s="627"/>
      <c r="F23" s="628"/>
      <c r="G23" s="120"/>
      <c r="H23" s="43"/>
    </row>
    <row r="24" spans="1:8" ht="15.5" x14ac:dyDescent="0.25">
      <c r="B24" s="179"/>
      <c r="C24" s="180"/>
      <c r="D24" s="181"/>
      <c r="E24" s="181"/>
      <c r="F24" s="620"/>
      <c r="G24" s="183"/>
      <c r="H24" s="43"/>
    </row>
    <row r="25" spans="1:8" ht="15.5" x14ac:dyDescent="0.25">
      <c r="B25" s="46"/>
      <c r="C25" s="47"/>
      <c r="D25" s="75"/>
      <c r="E25" s="75"/>
      <c r="F25" s="629"/>
      <c r="G25" s="49"/>
      <c r="H25" s="43"/>
    </row>
    <row r="26" spans="1:8" ht="15.5" x14ac:dyDescent="0.25">
      <c r="B26" s="46"/>
      <c r="C26" s="156" t="s">
        <v>411</v>
      </c>
      <c r="D26" s="684"/>
      <c r="E26" s="690" t="str">
        <f ca="1">IFERROR(IF(C26&lt;&gt;"",VLOOKUP($C26,INDIRECT($J$4),3,FALSE),""),"")</f>
        <v/>
      </c>
      <c r="F26" s="657" t="str">
        <f ca="1">IFERROR(IF(C26&lt;&gt;"",VLOOKUP($C26,INDIRECT($J$4),4,FALSE),""),"")</f>
        <v/>
      </c>
      <c r="G26" s="49"/>
      <c r="H26" s="43"/>
    </row>
    <row r="27" spans="1:8" ht="15.5" x14ac:dyDescent="0.25">
      <c r="B27" s="46"/>
      <c r="C27" s="156" t="s">
        <v>412</v>
      </c>
      <c r="D27" s="685"/>
      <c r="E27" s="691" t="str">
        <f ca="1">IFERROR(IF(C27&lt;&gt;"",VLOOKUP($C27,INDIRECT($J$4),3,FALSE),""),"")</f>
        <v/>
      </c>
      <c r="F27" s="659" t="str">
        <f ca="1">IFERROR(IF(C27&lt;&gt;"",VLOOKUP($C27,INDIRECT($J$4),4,FALSE),""),"")</f>
        <v/>
      </c>
      <c r="G27" s="49"/>
      <c r="H27" s="43"/>
    </row>
    <row r="28" spans="1:8" ht="15.5" x14ac:dyDescent="0.25">
      <c r="B28" s="53"/>
      <c r="C28" s="89" t="s">
        <v>413</v>
      </c>
      <c r="D28" s="689"/>
      <c r="E28" s="713" t="str">
        <f ca="1">IFERROR(IF(C28&lt;&gt;"",VLOOKUP($C28,INDIRECT($J$4),3,FALSE),""),"")</f>
        <v/>
      </c>
      <c r="F28" s="676" t="str">
        <f ca="1">IFERROR(IF(C28&lt;&gt;"",VLOOKUP($C28,INDIRECT($J$4),4,FALSE),""),"")</f>
        <v/>
      </c>
      <c r="G28" s="55"/>
      <c r="H28" s="43"/>
    </row>
    <row r="29" spans="1:8" x14ac:dyDescent="0.25"/>
    <row r="30" spans="1:8" x14ac:dyDescent="0.25">
      <c r="B30" s="115"/>
      <c r="C30" s="116"/>
      <c r="D30" s="116"/>
      <c r="E30" s="116"/>
      <c r="F30" s="116"/>
      <c r="G30" s="117"/>
    </row>
    <row r="31" spans="1:8" ht="15.5" x14ac:dyDescent="0.25">
      <c r="B31" s="118"/>
      <c r="C31" s="119" t="s">
        <v>886</v>
      </c>
      <c r="D31" s="114"/>
      <c r="E31" s="114"/>
      <c r="F31" s="619"/>
      <c r="G31" s="120"/>
    </row>
    <row r="32" spans="1:8" ht="15.5" x14ac:dyDescent="0.25">
      <c r="B32" s="179"/>
      <c r="C32" s="180"/>
      <c r="D32" s="181"/>
      <c r="E32" s="791" t="s">
        <v>754</v>
      </c>
      <c r="F32" s="620"/>
      <c r="G32" s="183"/>
    </row>
    <row r="33" spans="2:8" x14ac:dyDescent="0.25">
      <c r="B33" s="46"/>
      <c r="C33" s="47"/>
      <c r="D33" s="47"/>
      <c r="E33" s="47"/>
      <c r="F33" s="621"/>
      <c r="G33" s="49"/>
    </row>
    <row r="34" spans="2:8" ht="13" x14ac:dyDescent="0.25">
      <c r="B34" s="46"/>
      <c r="C34" s="590" t="s">
        <v>804</v>
      </c>
      <c r="D34" s="692"/>
      <c r="E34" s="706" t="str">
        <f t="shared" ref="E34:E41" ca="1" si="0">IFERROR(IF(C34&lt;&gt;"",VLOOKUP($C34,INDIRECT($J$4),3,FALSE),""),"")</f>
        <v/>
      </c>
      <c r="F34" s="697" t="str">
        <f t="shared" ref="F34:F41" ca="1" si="1">IFERROR(IF(C34&lt;&gt;"",VLOOKUP($C34,INDIRECT($J$4),4,FALSE),""),"")</f>
        <v/>
      </c>
      <c r="G34" s="49"/>
    </row>
    <row r="35" spans="2:8" ht="13" x14ac:dyDescent="0.25">
      <c r="B35" s="46"/>
      <c r="C35" s="590" t="s">
        <v>365</v>
      </c>
      <c r="D35" s="693"/>
      <c r="E35" s="707" t="str">
        <f t="shared" ca="1" si="0"/>
        <v/>
      </c>
      <c r="F35" s="698" t="str">
        <f t="shared" ca="1" si="1"/>
        <v/>
      </c>
      <c r="G35" s="49"/>
    </row>
    <row r="36" spans="2:8" ht="13" x14ac:dyDescent="0.25">
      <c r="B36" s="46"/>
      <c r="C36" s="590" t="s">
        <v>366</v>
      </c>
      <c r="D36" s="693"/>
      <c r="E36" s="707" t="str">
        <f t="shared" ca="1" si="0"/>
        <v/>
      </c>
      <c r="F36" s="698" t="str">
        <f t="shared" ca="1" si="1"/>
        <v/>
      </c>
      <c r="G36" s="49"/>
    </row>
    <row r="37" spans="2:8" ht="13" x14ac:dyDescent="0.25">
      <c r="B37" s="46"/>
      <c r="C37" s="590" t="s">
        <v>118</v>
      </c>
      <c r="D37" s="693"/>
      <c r="E37" s="707" t="str">
        <f t="shared" ca="1" si="0"/>
        <v/>
      </c>
      <c r="F37" s="698" t="str">
        <f t="shared" ca="1" si="1"/>
        <v/>
      </c>
      <c r="G37" s="49"/>
    </row>
    <row r="38" spans="2:8" ht="13" x14ac:dyDescent="0.25">
      <c r="B38" s="46"/>
      <c r="C38" s="590" t="s">
        <v>367</v>
      </c>
      <c r="D38" s="693"/>
      <c r="E38" s="707" t="str">
        <f t="shared" ca="1" si="0"/>
        <v/>
      </c>
      <c r="F38" s="698" t="str">
        <f t="shared" ca="1" si="1"/>
        <v/>
      </c>
      <c r="G38" s="49"/>
    </row>
    <row r="39" spans="2:8" ht="13" x14ac:dyDescent="0.25">
      <c r="B39" s="46"/>
      <c r="C39" s="590" t="s">
        <v>368</v>
      </c>
      <c r="D39" s="693"/>
      <c r="E39" s="707" t="str">
        <f t="shared" ca="1" si="0"/>
        <v/>
      </c>
      <c r="F39" s="698" t="str">
        <f t="shared" ca="1" si="1"/>
        <v/>
      </c>
      <c r="G39" s="49"/>
    </row>
    <row r="40" spans="2:8" ht="13" x14ac:dyDescent="0.25">
      <c r="B40" s="46"/>
      <c r="C40" s="86" t="s">
        <v>370</v>
      </c>
      <c r="D40" s="112"/>
      <c r="E40" s="708" t="str">
        <f t="shared" ca="1" si="0"/>
        <v/>
      </c>
      <c r="F40" s="695" t="str">
        <f t="shared" ca="1" si="1"/>
        <v/>
      </c>
      <c r="G40" s="49"/>
    </row>
    <row r="41" spans="2:8" ht="13" x14ac:dyDescent="0.25">
      <c r="B41" s="53"/>
      <c r="C41" s="88" t="s">
        <v>371</v>
      </c>
      <c r="D41" s="699"/>
      <c r="E41" s="768" t="str">
        <f t="shared" ca="1" si="0"/>
        <v/>
      </c>
      <c r="F41" s="700" t="str">
        <f t="shared" ca="1" si="1"/>
        <v/>
      </c>
      <c r="G41" s="55"/>
    </row>
    <row r="42" spans="2:8" ht="15.5" x14ac:dyDescent="0.25">
      <c r="B42" s="43"/>
      <c r="C42" s="43"/>
      <c r="D42" s="43"/>
      <c r="E42" s="43"/>
      <c r="F42" s="622"/>
      <c r="G42" s="43"/>
      <c r="H42" s="43"/>
    </row>
    <row r="43" spans="2:8" ht="15.5" x14ac:dyDescent="0.25">
      <c r="B43" s="115"/>
      <c r="C43" s="116"/>
      <c r="D43" s="625"/>
      <c r="E43" s="625"/>
      <c r="F43" s="626"/>
      <c r="G43" s="117"/>
    </row>
    <row r="44" spans="2:8" ht="15.5" x14ac:dyDescent="0.25">
      <c r="B44" s="118"/>
      <c r="C44" s="119" t="s">
        <v>755</v>
      </c>
      <c r="D44" s="627"/>
      <c r="E44" s="627"/>
      <c r="F44" s="628"/>
      <c r="G44" s="120"/>
    </row>
    <row r="45" spans="2:8" ht="15.5" x14ac:dyDescent="0.25">
      <c r="B45" s="179"/>
      <c r="C45" s="180"/>
      <c r="D45" s="181"/>
      <c r="E45" s="791" t="s">
        <v>754</v>
      </c>
      <c r="F45" s="620"/>
      <c r="G45" s="183"/>
    </row>
    <row r="46" spans="2:8" ht="15.5" x14ac:dyDescent="0.25">
      <c r="B46" s="46"/>
      <c r="C46" s="47"/>
      <c r="D46" s="75"/>
      <c r="E46" s="75"/>
      <c r="F46" s="629"/>
      <c r="G46" s="49"/>
    </row>
    <row r="47" spans="2:8" ht="13" x14ac:dyDescent="0.25">
      <c r="B47" s="46"/>
      <c r="C47" s="590" t="s">
        <v>810</v>
      </c>
      <c r="D47" s="692"/>
      <c r="E47" s="706" t="str">
        <f t="shared" ref="E47:E60" ca="1" si="2">IFERROR(IF(C47&lt;&gt;"",VLOOKUP($C47,INDIRECT($J$4),3,FALSE),""),"")</f>
        <v/>
      </c>
      <c r="F47" s="657" t="str">
        <f t="shared" ref="F47:F60" ca="1" si="3">IFERROR(IF(C47&lt;&gt;"",VLOOKUP($C47,INDIRECT($J$4),4,FALSE),""),"")</f>
        <v/>
      </c>
      <c r="G47" s="49"/>
    </row>
    <row r="48" spans="2:8" ht="13" x14ac:dyDescent="0.25">
      <c r="B48" s="46"/>
      <c r="C48" s="590" t="s">
        <v>811</v>
      </c>
      <c r="D48" s="693"/>
      <c r="E48" s="707" t="str">
        <f t="shared" ca="1" si="2"/>
        <v/>
      </c>
      <c r="F48" s="659" t="str">
        <f t="shared" ca="1" si="3"/>
        <v/>
      </c>
      <c r="G48" s="49"/>
    </row>
    <row r="49" spans="2:8" ht="13" x14ac:dyDescent="0.25">
      <c r="B49" s="46"/>
      <c r="C49" s="590" t="s">
        <v>812</v>
      </c>
      <c r="D49" s="693"/>
      <c r="E49" s="707" t="str">
        <f t="shared" ca="1" si="2"/>
        <v/>
      </c>
      <c r="F49" s="659" t="str">
        <f t="shared" ca="1" si="3"/>
        <v/>
      </c>
      <c r="G49" s="49"/>
    </row>
    <row r="50" spans="2:8" ht="13" x14ac:dyDescent="0.25">
      <c r="B50" s="46"/>
      <c r="C50" s="590" t="s">
        <v>813</v>
      </c>
      <c r="D50" s="693"/>
      <c r="E50" s="707" t="str">
        <f t="shared" ref="E50:E58" ca="1" si="4">IFERROR(IF(C50&lt;&gt;"",VLOOKUP($C50,INDIRECT($J$4),3,FALSE),""),"")</f>
        <v/>
      </c>
      <c r="F50" s="659" t="str">
        <f t="shared" ref="F50:F58" ca="1" si="5">IFERROR(IF(C50&lt;&gt;"",VLOOKUP($C50,INDIRECT($J$4),4,FALSE),""),"")</f>
        <v/>
      </c>
      <c r="G50" s="49"/>
    </row>
    <row r="51" spans="2:8" ht="13" x14ac:dyDescent="0.25">
      <c r="B51" s="46"/>
      <c r="C51" s="590" t="s">
        <v>814</v>
      </c>
      <c r="D51" s="693"/>
      <c r="E51" s="707" t="str">
        <f t="shared" ca="1" si="4"/>
        <v/>
      </c>
      <c r="F51" s="659" t="str">
        <f t="shared" ca="1" si="5"/>
        <v/>
      </c>
      <c r="G51" s="49"/>
    </row>
    <row r="52" spans="2:8" ht="13" x14ac:dyDescent="0.25">
      <c r="B52" s="46"/>
      <c r="C52" s="590" t="s">
        <v>815</v>
      </c>
      <c r="D52" s="693"/>
      <c r="E52" s="707" t="str">
        <f t="shared" ca="1" si="4"/>
        <v/>
      </c>
      <c r="F52" s="659" t="str">
        <f t="shared" ca="1" si="5"/>
        <v/>
      </c>
      <c r="G52" s="49"/>
    </row>
    <row r="53" spans="2:8" ht="13" x14ac:dyDescent="0.25">
      <c r="B53" s="46"/>
      <c r="C53" s="590" t="s">
        <v>816</v>
      </c>
      <c r="D53" s="693"/>
      <c r="E53" s="707" t="str">
        <f t="shared" ca="1" si="4"/>
        <v/>
      </c>
      <c r="F53" s="659" t="str">
        <f t="shared" ca="1" si="5"/>
        <v/>
      </c>
      <c r="G53" s="49"/>
    </row>
    <row r="54" spans="2:8" ht="13" x14ac:dyDescent="0.25">
      <c r="B54" s="46"/>
      <c r="C54" s="590" t="s">
        <v>817</v>
      </c>
      <c r="D54" s="693"/>
      <c r="E54" s="707" t="str">
        <f t="shared" ca="1" si="4"/>
        <v/>
      </c>
      <c r="F54" s="659" t="str">
        <f t="shared" ca="1" si="5"/>
        <v/>
      </c>
      <c r="G54" s="49"/>
    </row>
    <row r="55" spans="2:8" ht="13" x14ac:dyDescent="0.25">
      <c r="B55" s="46"/>
      <c r="C55" s="590" t="s">
        <v>819</v>
      </c>
      <c r="D55" s="693"/>
      <c r="E55" s="707" t="str">
        <f ca="1">IFERROR(IF(C55&lt;&gt;"",VLOOKUP($C55,INDIRECT($J$4),3,FALSE),""),"")</f>
        <v/>
      </c>
      <c r="F55" s="659" t="str">
        <f ca="1">IFERROR(IF(C55&lt;&gt;"",VLOOKUP($C55,INDIRECT($J$4),4,FALSE),""),"")</f>
        <v/>
      </c>
      <c r="G55" s="49"/>
    </row>
    <row r="56" spans="2:8" ht="13" x14ac:dyDescent="0.25">
      <c r="B56" s="46"/>
      <c r="C56" s="590" t="s">
        <v>818</v>
      </c>
      <c r="D56" s="693"/>
      <c r="E56" s="707" t="str">
        <f t="shared" ca="1" si="4"/>
        <v/>
      </c>
      <c r="F56" s="659" t="str">
        <f t="shared" ca="1" si="5"/>
        <v/>
      </c>
      <c r="G56" s="49"/>
    </row>
    <row r="57" spans="2:8" ht="13" x14ac:dyDescent="0.25">
      <c r="B57" s="46"/>
      <c r="C57" s="590" t="s">
        <v>373</v>
      </c>
      <c r="D57" s="693"/>
      <c r="E57" s="707" t="str">
        <f t="shared" ca="1" si="4"/>
        <v/>
      </c>
      <c r="F57" s="659" t="str">
        <f t="shared" ca="1" si="5"/>
        <v/>
      </c>
      <c r="G57" s="49"/>
    </row>
    <row r="58" spans="2:8" ht="13" x14ac:dyDescent="0.25">
      <c r="B58" s="46"/>
      <c r="C58" s="590" t="s">
        <v>384</v>
      </c>
      <c r="D58" s="693"/>
      <c r="E58" s="707" t="str">
        <f t="shared" ca="1" si="4"/>
        <v/>
      </c>
      <c r="F58" s="659" t="str">
        <f t="shared" ca="1" si="5"/>
        <v/>
      </c>
      <c r="G58" s="49"/>
    </row>
    <row r="59" spans="2:8" ht="13" x14ac:dyDescent="0.25">
      <c r="B59" s="46"/>
      <c r="C59" s="86" t="s">
        <v>386</v>
      </c>
      <c r="D59" s="112" t="s">
        <v>120</v>
      </c>
      <c r="E59" s="710" t="str">
        <f t="shared" ca="1" si="2"/>
        <v/>
      </c>
      <c r="F59" s="695" t="str">
        <f t="shared" ca="1" si="3"/>
        <v/>
      </c>
      <c r="G59" s="49"/>
    </row>
    <row r="60" spans="2:8" ht="13" x14ac:dyDescent="0.25">
      <c r="B60" s="53"/>
      <c r="C60" s="89" t="s">
        <v>388</v>
      </c>
      <c r="D60" s="113"/>
      <c r="E60" s="767" t="str">
        <f t="shared" ca="1" si="2"/>
        <v/>
      </c>
      <c r="F60" s="696" t="str">
        <f t="shared" ca="1" si="3"/>
        <v/>
      </c>
      <c r="G60" s="55"/>
    </row>
    <row r="61" spans="2:8" ht="15.5" x14ac:dyDescent="0.25">
      <c r="B61" s="43"/>
      <c r="C61" s="43"/>
      <c r="D61" s="43"/>
      <c r="E61" s="43"/>
      <c r="F61" s="622"/>
      <c r="G61" s="43"/>
      <c r="H61" s="43"/>
    </row>
    <row r="62" spans="2:8" s="229" customFormat="1" x14ac:dyDescent="0.25">
      <c r="B62" s="115"/>
      <c r="C62" s="116"/>
      <c r="D62" s="116"/>
      <c r="E62" s="116"/>
      <c r="F62" s="116"/>
      <c r="G62" s="117"/>
    </row>
    <row r="63" spans="2:8" s="229" customFormat="1" ht="15.5" x14ac:dyDescent="0.25">
      <c r="B63" s="118"/>
      <c r="C63" s="119" t="s">
        <v>756</v>
      </c>
      <c r="D63" s="114"/>
      <c r="E63" s="114"/>
      <c r="F63" s="114"/>
      <c r="G63" s="120"/>
    </row>
    <row r="64" spans="2:8" s="229" customFormat="1" ht="15.5" x14ac:dyDescent="0.25">
      <c r="B64" s="179"/>
      <c r="C64" s="180"/>
      <c r="D64" s="182"/>
      <c r="E64" s="791" t="s">
        <v>754</v>
      </c>
      <c r="F64" s="182"/>
      <c r="G64" s="183"/>
    </row>
    <row r="65" spans="2:8" s="229" customFormat="1" x14ac:dyDescent="0.25">
      <c r="B65" s="46"/>
      <c r="C65" s="47"/>
      <c r="D65" s="47"/>
      <c r="E65" s="47"/>
      <c r="F65" s="47"/>
      <c r="G65" s="212"/>
    </row>
    <row r="66" spans="2:8" s="229" customFormat="1" ht="15.5" x14ac:dyDescent="0.25">
      <c r="B66" s="46"/>
      <c r="C66" s="605" t="s">
        <v>389</v>
      </c>
      <c r="D66" s="879"/>
      <c r="E66" s="730" t="str">
        <f t="shared" ref="E66:E76" ca="1" si="6">IFERROR(IF(C66&lt;&gt;"",VLOOKUP($C66,INDIRECT($J$4),3,FALSE),""),"")</f>
        <v/>
      </c>
      <c r="F66" s="601" t="str">
        <f t="shared" ref="F66:F76" ca="1" si="7">IFERROR(IF(C66&lt;&gt;"",VLOOKUP($C66,INDIRECT($J$4),4,FALSE),""),"")</f>
        <v/>
      </c>
      <c r="G66" s="49"/>
    </row>
    <row r="67" spans="2:8" s="229" customFormat="1" ht="15.5" x14ac:dyDescent="0.25">
      <c r="B67" s="46"/>
      <c r="C67" s="606" t="s">
        <v>390</v>
      </c>
      <c r="D67" s="880"/>
      <c r="E67" s="731" t="str">
        <f t="shared" ca="1" si="6"/>
        <v/>
      </c>
      <c r="F67" s="602" t="str">
        <f t="shared" ca="1" si="7"/>
        <v/>
      </c>
      <c r="G67" s="49"/>
    </row>
    <row r="68" spans="2:8" s="229" customFormat="1" ht="15.5" x14ac:dyDescent="0.25">
      <c r="B68" s="46"/>
      <c r="C68" s="63"/>
      <c r="D68" s="882"/>
      <c r="E68" s="883"/>
      <c r="F68" s="884"/>
      <c r="G68" s="49"/>
    </row>
    <row r="69" spans="2:8" s="229" customFormat="1" ht="15.5" x14ac:dyDescent="0.25">
      <c r="B69" s="46"/>
      <c r="C69" s="86" t="s">
        <v>391</v>
      </c>
      <c r="D69" s="880"/>
      <c r="E69" s="731" t="str">
        <f t="shared" ca="1" si="6"/>
        <v/>
      </c>
      <c r="F69" s="602" t="str">
        <f t="shared" ca="1" si="7"/>
        <v/>
      </c>
      <c r="G69" s="49"/>
    </row>
    <row r="70" spans="2:8" s="229" customFormat="1" ht="15.5" x14ac:dyDescent="0.25">
      <c r="B70" s="46"/>
      <c r="C70" s="86" t="s">
        <v>392</v>
      </c>
      <c r="D70" s="880"/>
      <c r="E70" s="878" t="str">
        <f t="shared" ca="1" si="6"/>
        <v/>
      </c>
      <c r="F70" s="602" t="str">
        <f t="shared" ca="1" si="7"/>
        <v/>
      </c>
      <c r="G70" s="49"/>
    </row>
    <row r="71" spans="2:8" s="229" customFormat="1" ht="15.5" x14ac:dyDescent="0.25">
      <c r="B71" s="46"/>
      <c r="C71" s="86"/>
      <c r="D71" s="880"/>
      <c r="E71" s="936"/>
      <c r="F71" s="602"/>
      <c r="G71" s="49"/>
    </row>
    <row r="72" spans="2:8" s="229" customFormat="1" ht="15.5" x14ac:dyDescent="0.25">
      <c r="B72" s="46"/>
      <c r="C72" s="86" t="s">
        <v>395</v>
      </c>
      <c r="D72" s="932"/>
      <c r="E72" s="878" t="str">
        <f t="shared" ref="E72:E73" ca="1" si="8">IFERROR(IF(C72&lt;&gt;"",VLOOKUP($C72,INDIRECT($J$4),3,FALSE),""),"")</f>
        <v/>
      </c>
      <c r="F72" s="934" t="str">
        <f t="shared" ref="F72:F73" ca="1" si="9">IFERROR(IF(C72&lt;&gt;"",VLOOKUP($C72,INDIRECT($J$4),4,FALSE),""),"")</f>
        <v/>
      </c>
      <c r="G72" s="49"/>
    </row>
    <row r="73" spans="2:8" s="229" customFormat="1" ht="15.5" x14ac:dyDescent="0.25">
      <c r="B73" s="46"/>
      <c r="C73" s="86" t="s">
        <v>397</v>
      </c>
      <c r="D73" s="880"/>
      <c r="E73" s="935" t="str">
        <f t="shared" ca="1" si="8"/>
        <v/>
      </c>
      <c r="F73" s="934" t="str">
        <f t="shared" ca="1" si="9"/>
        <v/>
      </c>
      <c r="G73" s="49"/>
    </row>
    <row r="74" spans="2:8" s="229" customFormat="1" ht="15.5" x14ac:dyDescent="0.25">
      <c r="B74" s="46"/>
      <c r="C74" s="63"/>
      <c r="D74" s="880"/>
      <c r="E74" s="935"/>
      <c r="F74" s="884"/>
      <c r="G74" s="49"/>
    </row>
    <row r="75" spans="2:8" s="229" customFormat="1" ht="15.5" x14ac:dyDescent="0.25">
      <c r="B75" s="46"/>
      <c r="C75" s="156" t="s">
        <v>399</v>
      </c>
      <c r="D75" s="932"/>
      <c r="E75" s="930" t="str">
        <f t="shared" ca="1" si="6"/>
        <v/>
      </c>
      <c r="F75" s="602" t="str">
        <f t="shared" ca="1" si="7"/>
        <v/>
      </c>
      <c r="G75" s="49"/>
    </row>
    <row r="76" spans="2:8" s="229" customFormat="1" ht="15.5" x14ac:dyDescent="0.25">
      <c r="B76" s="53"/>
      <c r="C76" s="89" t="s">
        <v>400</v>
      </c>
      <c r="D76" s="881"/>
      <c r="E76" s="734" t="str">
        <f t="shared" ca="1" si="6"/>
        <v/>
      </c>
      <c r="F76" s="894" t="str">
        <f t="shared" ca="1" si="7"/>
        <v/>
      </c>
      <c r="G76" s="55"/>
    </row>
    <row r="77" spans="2:8" ht="15.5" x14ac:dyDescent="0.35">
      <c r="D77" s="630"/>
      <c r="E77" s="630"/>
      <c r="F77" s="630"/>
      <c r="H77" s="43"/>
    </row>
    <row r="78" spans="2:8" ht="15.5" x14ac:dyDescent="0.35">
      <c r="B78" s="187"/>
      <c r="C78" s="188"/>
      <c r="D78" s="631"/>
      <c r="E78" s="632"/>
      <c r="F78" s="631"/>
      <c r="G78" s="189"/>
      <c r="H78" s="43"/>
    </row>
    <row r="79" spans="2:8" ht="15.5" x14ac:dyDescent="0.35">
      <c r="B79" s="190"/>
      <c r="C79" s="254" t="s">
        <v>757</v>
      </c>
      <c r="D79" s="633"/>
      <c r="E79" s="634"/>
      <c r="F79" s="633"/>
      <c r="G79" s="191"/>
      <c r="H79" s="70"/>
    </row>
    <row r="80" spans="2:8" ht="15.5" x14ac:dyDescent="0.35">
      <c r="B80" s="192"/>
      <c r="C80" s="193"/>
      <c r="D80" s="639"/>
      <c r="E80" s="640"/>
      <c r="F80" s="639"/>
      <c r="G80" s="194"/>
      <c r="H80" s="43"/>
    </row>
    <row r="81" spans="2:8" ht="15.5" x14ac:dyDescent="0.35">
      <c r="B81" s="36"/>
      <c r="C81" s="37"/>
      <c r="D81" s="635"/>
      <c r="E81" s="635"/>
      <c r="F81" s="635"/>
      <c r="G81" s="38"/>
      <c r="H81" s="43"/>
    </row>
    <row r="82" spans="2:8" ht="15.5" x14ac:dyDescent="0.3">
      <c r="B82" s="36"/>
      <c r="C82" s="264" t="s">
        <v>414</v>
      </c>
      <c r="D82" s="684"/>
      <c r="E82" s="706" t="str">
        <f t="shared" ref="E82:E94" ca="1" si="10">IFERROR(IF(C82&lt;&gt;"",VLOOKUP($C82,INDIRECT($J$4),3,FALSE),""),"")</f>
        <v/>
      </c>
      <c r="F82" s="657" t="str">
        <f t="shared" ref="F82:F94" ca="1" si="11">IFERROR(IF(C82&lt;&gt;"",VLOOKUP($C82,INDIRECT($J$4),4,FALSE),""),"")</f>
        <v/>
      </c>
      <c r="G82" s="38"/>
      <c r="H82" s="43"/>
    </row>
    <row r="83" spans="2:8" ht="15.5" x14ac:dyDescent="0.3">
      <c r="B83" s="36"/>
      <c r="C83" s="264" t="s">
        <v>416</v>
      </c>
      <c r="D83" s="685"/>
      <c r="E83" s="716" t="str">
        <f t="shared" ca="1" si="10"/>
        <v/>
      </c>
      <c r="F83" s="659" t="str">
        <f t="shared" ca="1" si="11"/>
        <v/>
      </c>
      <c r="G83" s="38"/>
      <c r="H83" s="43"/>
    </row>
    <row r="84" spans="2:8" ht="15.5" x14ac:dyDescent="0.3">
      <c r="B84" s="36"/>
      <c r="C84" s="264"/>
      <c r="D84" s="687"/>
      <c r="E84" s="715" t="str">
        <f t="shared" ca="1" si="10"/>
        <v/>
      </c>
      <c r="F84" s="660" t="str">
        <f t="shared" ca="1" si="11"/>
        <v/>
      </c>
      <c r="G84" s="38"/>
      <c r="H84" s="43"/>
    </row>
    <row r="85" spans="2:8" ht="15.5" x14ac:dyDescent="0.3">
      <c r="B85" s="36"/>
      <c r="C85" s="264" t="s">
        <v>414</v>
      </c>
      <c r="D85" s="685"/>
      <c r="E85" s="714" t="str">
        <f t="shared" ca="1" si="10"/>
        <v/>
      </c>
      <c r="F85" s="659" t="str">
        <f t="shared" ca="1" si="11"/>
        <v/>
      </c>
      <c r="G85" s="38"/>
      <c r="H85" s="43"/>
    </row>
    <row r="86" spans="2:8" ht="15.5" x14ac:dyDescent="0.3">
      <c r="B86" s="36"/>
      <c r="C86" s="264" t="s">
        <v>98</v>
      </c>
      <c r="D86" s="685"/>
      <c r="E86" s="714" t="str">
        <f t="shared" ca="1" si="10"/>
        <v/>
      </c>
      <c r="F86" s="659" t="str">
        <f t="shared" ca="1" si="11"/>
        <v/>
      </c>
      <c r="G86" s="38"/>
      <c r="H86" s="43"/>
    </row>
    <row r="87" spans="2:8" ht="15.5" x14ac:dyDescent="0.3">
      <c r="B87" s="36"/>
      <c r="C87" s="264" t="s">
        <v>99</v>
      </c>
      <c r="D87" s="685"/>
      <c r="E87" s="714" t="str">
        <f t="shared" ca="1" si="10"/>
        <v/>
      </c>
      <c r="F87" s="659" t="str">
        <f t="shared" ca="1" si="11"/>
        <v/>
      </c>
      <c r="G87" s="38"/>
      <c r="H87" s="43"/>
    </row>
    <row r="88" spans="2:8" ht="15.5" x14ac:dyDescent="0.3">
      <c r="B88" s="36"/>
      <c r="C88" s="264" t="s">
        <v>100</v>
      </c>
      <c r="D88" s="685"/>
      <c r="E88" s="714" t="str">
        <f t="shared" ca="1" si="10"/>
        <v/>
      </c>
      <c r="F88" s="659" t="str">
        <f t="shared" ca="1" si="11"/>
        <v/>
      </c>
      <c r="G88" s="38"/>
      <c r="H88" s="43"/>
    </row>
    <row r="89" spans="2:8" ht="15.5" x14ac:dyDescent="0.3">
      <c r="B89" s="36"/>
      <c r="C89" s="264" t="s">
        <v>101</v>
      </c>
      <c r="D89" s="685"/>
      <c r="E89" s="714" t="str">
        <f t="shared" ca="1" si="10"/>
        <v/>
      </c>
      <c r="F89" s="659" t="str">
        <f t="shared" ca="1" si="11"/>
        <v/>
      </c>
      <c r="G89" s="38"/>
      <c r="H89" s="43"/>
    </row>
    <row r="90" spans="2:8" ht="15.5" x14ac:dyDescent="0.3">
      <c r="B90" s="36"/>
      <c r="C90" s="264" t="s">
        <v>418</v>
      </c>
      <c r="D90" s="685"/>
      <c r="E90" s="714" t="str">
        <f t="shared" ca="1" si="10"/>
        <v/>
      </c>
      <c r="F90" s="659" t="str">
        <f t="shared" ca="1" si="11"/>
        <v/>
      </c>
      <c r="G90" s="38"/>
      <c r="H90" s="70"/>
    </row>
    <row r="91" spans="2:8" ht="15.5" x14ac:dyDescent="0.3">
      <c r="B91" s="36"/>
      <c r="C91" s="264" t="s">
        <v>419</v>
      </c>
      <c r="D91" s="685"/>
      <c r="E91" s="716" t="str">
        <f t="shared" ca="1" si="10"/>
        <v/>
      </c>
      <c r="F91" s="659" t="str">
        <f t="shared" ca="1" si="11"/>
        <v/>
      </c>
      <c r="G91" s="38"/>
      <c r="H91" s="43"/>
    </row>
    <row r="92" spans="2:8" ht="15.5" x14ac:dyDescent="0.3">
      <c r="B92" s="36"/>
      <c r="C92" s="264"/>
      <c r="D92" s="687"/>
      <c r="E92" s="714" t="str">
        <f t="shared" ca="1" si="10"/>
        <v/>
      </c>
      <c r="F92" s="660" t="str">
        <f t="shared" ca="1" si="11"/>
        <v/>
      </c>
      <c r="G92" s="38"/>
      <c r="H92" s="43"/>
    </row>
    <row r="93" spans="2:8" ht="15.5" x14ac:dyDescent="0.3">
      <c r="B93" s="36"/>
      <c r="C93" s="264" t="s">
        <v>420</v>
      </c>
      <c r="D93" s="685"/>
      <c r="E93" s="714" t="str">
        <f t="shared" ca="1" si="10"/>
        <v/>
      </c>
      <c r="F93" s="659" t="str">
        <f t="shared" ca="1" si="11"/>
        <v/>
      </c>
      <c r="G93" s="38"/>
      <c r="H93" s="43"/>
    </row>
    <row r="94" spans="2:8" ht="15.5" x14ac:dyDescent="0.3">
      <c r="B94" s="39"/>
      <c r="C94" s="266" t="s">
        <v>421</v>
      </c>
      <c r="D94" s="689"/>
      <c r="E94" s="717" t="str">
        <f t="shared" ca="1" si="10"/>
        <v/>
      </c>
      <c r="F94" s="676" t="str">
        <f t="shared" ca="1" si="11"/>
        <v/>
      </c>
      <c r="G94" s="40"/>
      <c r="H94" s="43"/>
    </row>
    <row r="95" spans="2:8" ht="15.5" x14ac:dyDescent="0.25">
      <c r="B95" s="70"/>
      <c r="C95" s="70"/>
      <c r="D95" s="70"/>
      <c r="E95" s="70"/>
      <c r="F95" s="624"/>
      <c r="G95" s="70"/>
      <c r="H95" s="43"/>
    </row>
    <row r="96" spans="2:8" ht="15.5" x14ac:dyDescent="0.35">
      <c r="B96" s="187"/>
      <c r="C96" s="188"/>
      <c r="D96" s="631"/>
      <c r="E96" s="632"/>
      <c r="F96" s="631"/>
      <c r="G96" s="189"/>
    </row>
    <row r="97" spans="2:12" ht="15.5" x14ac:dyDescent="0.35">
      <c r="B97" s="190"/>
      <c r="C97" s="254" t="s">
        <v>759</v>
      </c>
      <c r="D97" s="633"/>
      <c r="E97" s="634"/>
      <c r="F97" s="633"/>
      <c r="G97" s="191"/>
    </row>
    <row r="98" spans="2:12" ht="15.5" x14ac:dyDescent="0.35">
      <c r="B98" s="192"/>
      <c r="C98" s="193"/>
      <c r="D98" s="792" t="s">
        <v>198</v>
      </c>
      <c r="E98" s="794" t="s">
        <v>887</v>
      </c>
      <c r="F98" s="792" t="s">
        <v>888</v>
      </c>
      <c r="G98" s="194"/>
    </row>
    <row r="99" spans="2:12" ht="15.5" x14ac:dyDescent="0.35">
      <c r="B99" s="251"/>
      <c r="C99" s="252"/>
      <c r="D99" s="637"/>
      <c r="E99" s="637"/>
      <c r="F99" s="637"/>
      <c r="G99" s="253"/>
    </row>
    <row r="100" spans="2:12" ht="13" x14ac:dyDescent="0.3">
      <c r="B100" s="36"/>
      <c r="C100" s="264" t="s">
        <v>422</v>
      </c>
      <c r="D100" s="609" t="str">
        <f t="shared" ref="D100:D112" ca="1" si="12">IFERROR(IF(C100&lt;&gt;"",VLOOKUP($C100,INDIRECT($J$4),2,FALSE),""),"")</f>
        <v/>
      </c>
      <c r="E100" s="721" t="str">
        <f t="shared" ref="E100:E112" ca="1" si="13">IFERROR(IF(C100&lt;&gt;"",VLOOKUP($C100,INDIRECT($J$4),3,FALSE),""),"")</f>
        <v/>
      </c>
      <c r="F100" s="719" t="str">
        <f t="shared" ref="F100:F112" ca="1" si="14">IFERROR(IF(C100&lt;&gt;"",VLOOKUP($C100,INDIRECT($J$4),4,FALSE),""),"")</f>
        <v/>
      </c>
      <c r="G100" s="38"/>
    </row>
    <row r="101" spans="2:12" ht="13" x14ac:dyDescent="0.3">
      <c r="B101" s="36"/>
      <c r="C101" s="588" t="s">
        <v>423</v>
      </c>
      <c r="D101" s="595" t="str">
        <f t="shared" ca="1" si="12"/>
        <v/>
      </c>
      <c r="E101" s="718" t="str">
        <f t="shared" ca="1" si="13"/>
        <v/>
      </c>
      <c r="F101" s="720" t="str">
        <f t="shared" ca="1" si="14"/>
        <v/>
      </c>
      <c r="G101" s="38"/>
    </row>
    <row r="102" spans="2:12" ht="13" x14ac:dyDescent="0.3">
      <c r="B102" s="36"/>
      <c r="C102" s="588" t="s">
        <v>424</v>
      </c>
      <c r="D102" s="595" t="str">
        <f t="shared" ca="1" si="12"/>
        <v/>
      </c>
      <c r="E102" s="718" t="str">
        <f t="shared" ca="1" si="13"/>
        <v/>
      </c>
      <c r="F102" s="720" t="str">
        <f t="shared" ca="1" si="14"/>
        <v/>
      </c>
      <c r="G102" s="38"/>
    </row>
    <row r="103" spans="2:12" ht="13" x14ac:dyDescent="0.3">
      <c r="B103" s="36"/>
      <c r="C103" s="588" t="s">
        <v>425</v>
      </c>
      <c r="D103" s="595" t="str">
        <f t="shared" ca="1" si="12"/>
        <v/>
      </c>
      <c r="E103" s="718" t="str">
        <f t="shared" ca="1" si="13"/>
        <v/>
      </c>
      <c r="F103" s="720" t="str">
        <f t="shared" ca="1" si="14"/>
        <v/>
      </c>
      <c r="G103" s="38"/>
      <c r="L103" s="228"/>
    </row>
    <row r="104" spans="2:12" ht="13" x14ac:dyDescent="0.3">
      <c r="B104" s="36"/>
      <c r="C104" s="588" t="s">
        <v>426</v>
      </c>
      <c r="D104" s="595" t="str">
        <f t="shared" ca="1" si="12"/>
        <v/>
      </c>
      <c r="E104" s="718" t="str">
        <f t="shared" ca="1" si="13"/>
        <v/>
      </c>
      <c r="F104" s="720" t="str">
        <f t="shared" ca="1" si="14"/>
        <v/>
      </c>
      <c r="G104" s="38"/>
      <c r="L104" s="228"/>
    </row>
    <row r="105" spans="2:12" ht="13" x14ac:dyDescent="0.3">
      <c r="B105" s="36"/>
      <c r="C105" s="264" t="s">
        <v>427</v>
      </c>
      <c r="D105" s="595" t="str">
        <f t="shared" ca="1" si="12"/>
        <v/>
      </c>
      <c r="E105" s="718" t="str">
        <f t="shared" ca="1" si="13"/>
        <v/>
      </c>
      <c r="F105" s="720" t="str">
        <f t="shared" ca="1" si="14"/>
        <v/>
      </c>
      <c r="G105" s="38"/>
    </row>
    <row r="106" spans="2:12" ht="13" x14ac:dyDescent="0.3">
      <c r="B106" s="36"/>
      <c r="C106" s="588" t="s">
        <v>428</v>
      </c>
      <c r="D106" s="595" t="str">
        <f t="shared" ca="1" si="12"/>
        <v/>
      </c>
      <c r="E106" s="718" t="str">
        <f t="shared" ca="1" si="13"/>
        <v/>
      </c>
      <c r="F106" s="720" t="str">
        <f t="shared" ca="1" si="14"/>
        <v/>
      </c>
      <c r="G106" s="38"/>
    </row>
    <row r="107" spans="2:12" ht="13" x14ac:dyDescent="0.3">
      <c r="B107" s="36"/>
      <c r="C107" s="588" t="s">
        <v>429</v>
      </c>
      <c r="D107" s="595" t="str">
        <f t="shared" ca="1" si="12"/>
        <v/>
      </c>
      <c r="E107" s="718" t="str">
        <f t="shared" ca="1" si="13"/>
        <v/>
      </c>
      <c r="F107" s="720" t="str">
        <f t="shared" ca="1" si="14"/>
        <v/>
      </c>
      <c r="G107" s="38"/>
    </row>
    <row r="108" spans="2:12" ht="13" x14ac:dyDescent="0.3">
      <c r="B108" s="36"/>
      <c r="C108" s="588" t="s">
        <v>430</v>
      </c>
      <c r="D108" s="595" t="str">
        <f t="shared" ca="1" si="12"/>
        <v/>
      </c>
      <c r="E108" s="718" t="str">
        <f t="shared" ca="1" si="13"/>
        <v/>
      </c>
      <c r="F108" s="720" t="str">
        <f t="shared" ca="1" si="14"/>
        <v/>
      </c>
      <c r="G108" s="38"/>
    </row>
    <row r="109" spans="2:12" ht="13" x14ac:dyDescent="0.3">
      <c r="B109" s="36"/>
      <c r="C109" s="264" t="s">
        <v>761</v>
      </c>
      <c r="D109" s="595" t="str">
        <f t="shared" ca="1" si="12"/>
        <v/>
      </c>
      <c r="E109" s="718" t="str">
        <f t="shared" ca="1" si="13"/>
        <v/>
      </c>
      <c r="F109" s="720" t="str">
        <f t="shared" ca="1" si="14"/>
        <v/>
      </c>
      <c r="G109" s="38"/>
    </row>
    <row r="110" spans="2:12" ht="13" x14ac:dyDescent="0.3">
      <c r="B110" s="36"/>
      <c r="C110" s="588" t="s">
        <v>431</v>
      </c>
      <c r="D110" s="595" t="str">
        <f t="shared" ca="1" si="12"/>
        <v/>
      </c>
      <c r="E110" s="718" t="str">
        <f t="shared" ca="1" si="13"/>
        <v/>
      </c>
      <c r="F110" s="720" t="str">
        <f t="shared" ca="1" si="14"/>
        <v/>
      </c>
      <c r="G110" s="38"/>
    </row>
    <row r="111" spans="2:12" ht="13" x14ac:dyDescent="0.3">
      <c r="B111" s="36"/>
      <c r="C111" s="588" t="s">
        <v>432</v>
      </c>
      <c r="D111" s="595" t="str">
        <f t="shared" ca="1" si="12"/>
        <v/>
      </c>
      <c r="E111" s="718" t="str">
        <f t="shared" ca="1" si="13"/>
        <v/>
      </c>
      <c r="F111" s="720" t="str">
        <f t="shared" ca="1" si="14"/>
        <v/>
      </c>
      <c r="G111" s="38"/>
    </row>
    <row r="112" spans="2:12" ht="13" x14ac:dyDescent="0.3">
      <c r="B112" s="39"/>
      <c r="C112" s="589" t="s">
        <v>433</v>
      </c>
      <c r="D112" s="596" t="str">
        <f t="shared" ca="1" si="12"/>
        <v/>
      </c>
      <c r="E112" s="722" t="str">
        <f t="shared" ca="1" si="13"/>
        <v/>
      </c>
      <c r="F112" s="723" t="str">
        <f t="shared" ca="1" si="14"/>
        <v/>
      </c>
      <c r="G112" s="40"/>
    </row>
    <row r="113" spans="2:8" x14ac:dyDescent="0.25"/>
    <row r="114" spans="2:8" ht="15.5" x14ac:dyDescent="0.35">
      <c r="B114" s="187"/>
      <c r="C114" s="188"/>
      <c r="D114" s="631"/>
      <c r="E114" s="631"/>
      <c r="F114" s="631"/>
      <c r="G114" s="189"/>
      <c r="H114" s="70"/>
    </row>
    <row r="115" spans="2:8" ht="15.5" x14ac:dyDescent="0.35">
      <c r="B115" s="190"/>
      <c r="C115" s="254" t="s">
        <v>762</v>
      </c>
      <c r="D115" s="633"/>
      <c r="E115" s="633"/>
      <c r="F115" s="633"/>
      <c r="G115" s="191"/>
      <c r="H115" s="43"/>
    </row>
    <row r="116" spans="2:8" ht="15.5" x14ac:dyDescent="0.35">
      <c r="B116" s="192"/>
      <c r="C116" s="193"/>
      <c r="D116" s="792" t="s">
        <v>243</v>
      </c>
      <c r="E116" s="792" t="s">
        <v>164</v>
      </c>
      <c r="F116" s="792" t="s">
        <v>760</v>
      </c>
      <c r="G116" s="257"/>
      <c r="H116" s="43"/>
    </row>
    <row r="117" spans="2:8" ht="15.5" x14ac:dyDescent="0.35">
      <c r="B117" s="251"/>
      <c r="C117" s="252"/>
      <c r="D117" s="637"/>
      <c r="E117" s="637"/>
      <c r="F117" s="637"/>
      <c r="G117" s="253"/>
      <c r="H117" s="43"/>
    </row>
    <row r="118" spans="2:8" ht="15.5" x14ac:dyDescent="0.3">
      <c r="B118" s="36"/>
      <c r="C118" s="264" t="s">
        <v>166</v>
      </c>
      <c r="D118" s="609" t="str">
        <f t="shared" ref="D118:D129" ca="1" si="15">IFERROR(IF(C118&lt;&gt;"",VLOOKUP($C118,INDIRECT($J$4),2,FALSE),""),"")</f>
        <v/>
      </c>
      <c r="E118" s="721" t="str">
        <f t="shared" ref="E118:E129" ca="1" si="16">IFERROR(IF(C118&lt;&gt;"",VLOOKUP($C118,INDIRECT($J$4),3,FALSE),""),"")</f>
        <v/>
      </c>
      <c r="F118" s="719" t="str">
        <f t="shared" ref="F118:F129" ca="1" si="17">IFERROR(IF(C118&lt;&gt;"",VLOOKUP($C118,INDIRECT($J$4),4,FALSE),""),"")</f>
        <v/>
      </c>
      <c r="G118" s="38"/>
      <c r="H118" s="43"/>
    </row>
    <row r="119" spans="2:8" ht="15.5" x14ac:dyDescent="0.3">
      <c r="B119" s="36"/>
      <c r="C119" s="587" t="s">
        <v>434</v>
      </c>
      <c r="D119" s="595" t="str">
        <f t="shared" ca="1" si="15"/>
        <v/>
      </c>
      <c r="E119" s="724" t="str">
        <f t="shared" ca="1" si="16"/>
        <v/>
      </c>
      <c r="F119" s="720" t="str">
        <f t="shared" ca="1" si="17"/>
        <v/>
      </c>
      <c r="G119" s="38"/>
      <c r="H119" s="43"/>
    </row>
    <row r="120" spans="2:8" ht="15.5" x14ac:dyDescent="0.25">
      <c r="B120" s="36"/>
      <c r="C120" s="42"/>
      <c r="D120" s="595" t="str">
        <f t="shared" ca="1" si="15"/>
        <v/>
      </c>
      <c r="E120" s="725" t="str">
        <f t="shared" ca="1" si="16"/>
        <v/>
      </c>
      <c r="F120" s="720" t="str">
        <f t="shared" ca="1" si="17"/>
        <v/>
      </c>
      <c r="G120" s="38"/>
      <c r="H120" s="43"/>
    </row>
    <row r="121" spans="2:8" ht="15.5" x14ac:dyDescent="0.3">
      <c r="B121" s="36"/>
      <c r="C121" s="265" t="s">
        <v>172</v>
      </c>
      <c r="D121" s="595" t="str">
        <f t="shared" ca="1" si="15"/>
        <v/>
      </c>
      <c r="E121" s="725" t="str">
        <f t="shared" ca="1" si="16"/>
        <v/>
      </c>
      <c r="F121" s="720" t="str">
        <f t="shared" ca="1" si="17"/>
        <v/>
      </c>
      <c r="G121" s="38"/>
      <c r="H121" s="43"/>
    </row>
    <row r="122" spans="2:8" ht="15.5" x14ac:dyDescent="0.3">
      <c r="B122" s="36"/>
      <c r="C122" s="587" t="s">
        <v>435</v>
      </c>
      <c r="D122" s="595" t="str">
        <f t="shared" ca="1" si="15"/>
        <v/>
      </c>
      <c r="E122" s="718" t="str">
        <f t="shared" ca="1" si="16"/>
        <v/>
      </c>
      <c r="F122" s="720" t="str">
        <f t="shared" ca="1" si="17"/>
        <v/>
      </c>
      <c r="G122" s="38"/>
      <c r="H122" s="43"/>
    </row>
    <row r="123" spans="2:8" ht="15.5" x14ac:dyDescent="0.25">
      <c r="B123" s="36"/>
      <c r="C123" s="42"/>
      <c r="D123" s="595" t="str">
        <f t="shared" ca="1" si="15"/>
        <v/>
      </c>
      <c r="E123" s="725" t="str">
        <f t="shared" ca="1" si="16"/>
        <v/>
      </c>
      <c r="F123" s="720" t="str">
        <f t="shared" ca="1" si="17"/>
        <v/>
      </c>
      <c r="G123" s="38"/>
      <c r="H123" s="43"/>
    </row>
    <row r="124" spans="2:8" ht="15.5" x14ac:dyDescent="0.3">
      <c r="B124" s="36"/>
      <c r="C124" s="265" t="s">
        <v>763</v>
      </c>
      <c r="D124" s="595" t="str">
        <f t="shared" ca="1" si="15"/>
        <v/>
      </c>
      <c r="E124" s="718" t="str">
        <f t="shared" ca="1" si="16"/>
        <v/>
      </c>
      <c r="F124" s="720" t="str">
        <f t="shared" ca="1" si="17"/>
        <v/>
      </c>
      <c r="G124" s="38"/>
      <c r="H124" s="43"/>
    </row>
    <row r="125" spans="2:8" ht="15.5" x14ac:dyDescent="0.3">
      <c r="B125" s="36"/>
      <c r="C125" s="584" t="s">
        <v>436</v>
      </c>
      <c r="D125" s="595" t="str">
        <f t="shared" ca="1" si="15"/>
        <v/>
      </c>
      <c r="E125" s="718" t="str">
        <f t="shared" ca="1" si="16"/>
        <v/>
      </c>
      <c r="F125" s="720" t="str">
        <f t="shared" ca="1" si="17"/>
        <v/>
      </c>
      <c r="G125" s="38"/>
      <c r="H125" s="43"/>
    </row>
    <row r="126" spans="2:8" ht="15.5" x14ac:dyDescent="0.3">
      <c r="B126" s="36"/>
      <c r="C126" s="585" t="s">
        <v>437</v>
      </c>
      <c r="D126" s="595" t="str">
        <f t="shared" ca="1" si="15"/>
        <v/>
      </c>
      <c r="E126" s="725" t="str">
        <f t="shared" ca="1" si="16"/>
        <v/>
      </c>
      <c r="F126" s="720" t="str">
        <f t="shared" ca="1" si="17"/>
        <v/>
      </c>
      <c r="G126" s="38"/>
      <c r="H126" s="43"/>
    </row>
    <row r="127" spans="2:8" ht="15.5" x14ac:dyDescent="0.3">
      <c r="B127" s="36"/>
      <c r="C127" s="585" t="s">
        <v>438</v>
      </c>
      <c r="D127" s="595" t="str">
        <f t="shared" ca="1" si="15"/>
        <v/>
      </c>
      <c r="E127" s="725" t="str">
        <f t="shared" ca="1" si="16"/>
        <v/>
      </c>
      <c r="F127" s="720" t="str">
        <f t="shared" ca="1" si="17"/>
        <v/>
      </c>
      <c r="G127" s="38"/>
      <c r="H127" s="43"/>
    </row>
    <row r="128" spans="2:8" ht="15.5" x14ac:dyDescent="0.3">
      <c r="B128" s="36"/>
      <c r="C128" s="585" t="s">
        <v>439</v>
      </c>
      <c r="D128" s="595" t="str">
        <f t="shared" ca="1" si="15"/>
        <v/>
      </c>
      <c r="E128" s="725" t="str">
        <f t="shared" ca="1" si="16"/>
        <v/>
      </c>
      <c r="F128" s="720" t="str">
        <f t="shared" ca="1" si="17"/>
        <v/>
      </c>
      <c r="G128" s="38"/>
      <c r="H128" s="43"/>
    </row>
    <row r="129" spans="2:8" ht="15.5" x14ac:dyDescent="0.3">
      <c r="B129" s="39"/>
      <c r="C129" s="586" t="s">
        <v>440</v>
      </c>
      <c r="D129" s="596" t="str">
        <f t="shared" ca="1" si="15"/>
        <v/>
      </c>
      <c r="E129" s="722" t="str">
        <f t="shared" ca="1" si="16"/>
        <v/>
      </c>
      <c r="F129" s="723" t="str">
        <f t="shared" ca="1" si="17"/>
        <v/>
      </c>
      <c r="G129" s="40"/>
      <c r="H129" s="43"/>
    </row>
    <row r="130" spans="2:8" ht="15.5" x14ac:dyDescent="0.25">
      <c r="B130" s="43"/>
      <c r="C130" s="43"/>
      <c r="D130" s="43"/>
      <c r="E130" s="43"/>
      <c r="F130" s="43"/>
      <c r="G130" s="43"/>
      <c r="H130" s="43"/>
    </row>
    <row r="131" spans="2:8" ht="15.5" x14ac:dyDescent="0.35">
      <c r="B131" s="187"/>
      <c r="C131" s="188"/>
      <c r="D131" s="631"/>
      <c r="E131" s="631"/>
      <c r="F131" s="631"/>
      <c r="G131" s="189"/>
      <c r="H131" s="43"/>
    </row>
    <row r="132" spans="2:8" ht="15.5" x14ac:dyDescent="0.35">
      <c r="B132" s="190"/>
      <c r="C132" s="254" t="s">
        <v>889</v>
      </c>
      <c r="D132" s="633"/>
      <c r="E132" s="633"/>
      <c r="F132" s="633"/>
      <c r="G132" s="191"/>
      <c r="H132" s="43"/>
    </row>
    <row r="133" spans="2:8" ht="15.5" x14ac:dyDescent="0.35">
      <c r="B133" s="192"/>
      <c r="C133" s="193"/>
      <c r="D133" s="636"/>
      <c r="E133" s="636"/>
      <c r="F133" s="636"/>
      <c r="G133" s="257"/>
      <c r="H133" s="43"/>
    </row>
    <row r="134" spans="2:8" ht="15.5" x14ac:dyDescent="0.35">
      <c r="B134" s="251"/>
      <c r="C134" s="252"/>
      <c r="D134" s="637"/>
      <c r="E134" s="637"/>
      <c r="F134" s="637"/>
      <c r="G134" s="253"/>
      <c r="H134" s="43"/>
    </row>
    <row r="135" spans="2:8" ht="15.5" x14ac:dyDescent="0.3">
      <c r="B135" s="39"/>
      <c r="C135" s="567" t="s">
        <v>826</v>
      </c>
      <c r="D135" s="701" t="str">
        <f ca="1">IFERROR(IF(C135&lt;&gt;"",VLOOKUP($C135,INDIRECT($J$4),2,FALSE),""),"")</f>
        <v/>
      </c>
      <c r="E135" s="726" t="str">
        <f ca="1">IFERROR(IF(C135&lt;&gt;"",VLOOKUP($C135,INDIRECT($J$4),3,FALSE),""),"")</f>
        <v/>
      </c>
      <c r="F135" s="702" t="str">
        <f ca="1">IFERROR(IF(C135&lt;&gt;"",VLOOKUP($C135,INDIRECT($J$4),4,FALSE),""),"")</f>
        <v/>
      </c>
      <c r="G135" s="40"/>
      <c r="H135" s="43"/>
    </row>
    <row r="136" spans="2:8" ht="15.5" x14ac:dyDescent="0.25">
      <c r="B136" s="43"/>
      <c r="C136" s="43"/>
      <c r="D136" s="43"/>
      <c r="E136" s="43"/>
      <c r="F136" s="622"/>
      <c r="G136" s="43"/>
      <c r="H136" s="43"/>
    </row>
    <row r="137" spans="2:8" ht="15.5" x14ac:dyDescent="0.35">
      <c r="B137" s="187"/>
      <c r="C137" s="188"/>
      <c r="D137" s="631"/>
      <c r="E137" s="631"/>
      <c r="F137" s="631"/>
      <c r="G137" s="189"/>
      <c r="H137" s="43"/>
    </row>
    <row r="138" spans="2:8" ht="15.5" x14ac:dyDescent="0.35">
      <c r="B138" s="190"/>
      <c r="C138" s="254" t="s">
        <v>890</v>
      </c>
      <c r="D138" s="633"/>
      <c r="E138" s="633"/>
      <c r="F138" s="633"/>
      <c r="G138" s="191"/>
      <c r="H138" s="43"/>
    </row>
    <row r="139" spans="2:8" ht="15.5" x14ac:dyDescent="0.35">
      <c r="B139" s="192"/>
      <c r="C139" s="193"/>
      <c r="D139" s="636"/>
      <c r="E139" s="636"/>
      <c r="F139" s="636"/>
      <c r="G139" s="257"/>
      <c r="H139" s="43"/>
    </row>
    <row r="140" spans="2:8" ht="15.5" x14ac:dyDescent="0.35">
      <c r="B140" s="251"/>
      <c r="C140" s="252"/>
      <c r="D140" s="637"/>
      <c r="E140" s="637"/>
      <c r="F140" s="637"/>
      <c r="G140" s="253"/>
      <c r="H140" s="43"/>
    </row>
    <row r="141" spans="2:8" ht="15.5" x14ac:dyDescent="0.3">
      <c r="B141" s="36"/>
      <c r="C141" s="265" t="s">
        <v>461</v>
      </c>
      <c r="D141" s="703" t="str">
        <f ca="1">IFERROR(IF(C141&lt;&gt;"",VLOOKUP($C141,INDIRECT($J$4),2,FALSE),""),"")</f>
        <v/>
      </c>
      <c r="E141" s="706" t="str">
        <f ca="1">IFERROR(IF(C141&lt;&gt;"",VLOOKUP($C141,INDIRECT($J$4),3,FALSE),""),"")</f>
        <v/>
      </c>
      <c r="F141" s="657" t="str">
        <f ca="1">IFERROR(IF(C141&lt;&gt;"",VLOOKUP($C141,INDIRECT($J$4),4,FALSE),""),"")</f>
        <v/>
      </c>
      <c r="G141" s="38"/>
      <c r="H141" s="43"/>
    </row>
    <row r="142" spans="2:8" ht="15.5" x14ac:dyDescent="0.3">
      <c r="B142" s="36"/>
      <c r="C142" s="265" t="s">
        <v>462</v>
      </c>
      <c r="D142" s="655" t="str">
        <f ca="1">IFERROR(IF(C142&lt;&gt;"",VLOOKUP($C142,INDIRECT($J$4),2,FALSE),""),"")</f>
        <v/>
      </c>
      <c r="E142" s="714" t="str">
        <f ca="1">IFERROR(IF(C142&lt;&gt;"",VLOOKUP($C142,INDIRECT($J$4),3,FALSE),""),"")</f>
        <v/>
      </c>
      <c r="F142" s="659" t="str">
        <f ca="1">IFERROR(IF(C142&lt;&gt;"",VLOOKUP($C142,INDIRECT($J$4),4,FALSE),""),"")</f>
        <v/>
      </c>
      <c r="G142" s="38"/>
      <c r="H142" s="43"/>
    </row>
    <row r="143" spans="2:8" ht="15.5" x14ac:dyDescent="0.3">
      <c r="B143" s="36"/>
      <c r="C143" s="265" t="s">
        <v>829</v>
      </c>
      <c r="D143" s="655" t="str">
        <f ca="1">IFERROR(IF(C143&lt;&gt;"",VLOOKUP($C143,INDIRECT($J$4),2,FALSE),""),"")</f>
        <v/>
      </c>
      <c r="E143" s="716" t="str">
        <f ca="1">IFERROR(IF(C143&lt;&gt;"",VLOOKUP($C143,INDIRECT($J$4),3,FALSE),""),"")</f>
        <v/>
      </c>
      <c r="F143" s="659" t="str">
        <f ca="1">IFERROR(IF(C143&lt;&gt;"",VLOOKUP($C143,INDIRECT($J$4),4,FALSE),""),"")</f>
        <v/>
      </c>
      <c r="G143" s="38"/>
      <c r="H143" s="43"/>
    </row>
    <row r="144" spans="2:8" ht="15.5" x14ac:dyDescent="0.3">
      <c r="B144" s="36"/>
      <c r="C144" s="265"/>
      <c r="D144" s="655"/>
      <c r="E144" s="686"/>
      <c r="F144" s="659"/>
      <c r="G144" s="38"/>
      <c r="H144" s="43"/>
    </row>
    <row r="145" spans="2:8" ht="15.5" x14ac:dyDescent="0.3">
      <c r="B145" s="36"/>
      <c r="C145" s="265" t="s">
        <v>463</v>
      </c>
      <c r="D145" s="655" t="str">
        <f t="shared" ref="D145:D158" ca="1" si="18">IFERROR(IF(C145&lt;&gt;"",VLOOKUP($C145,INDIRECT($J$4),2,FALSE),""),"")</f>
        <v/>
      </c>
      <c r="E145" s="716" t="str">
        <f t="shared" ref="E145:E158" ca="1" si="19">IFERROR(IF(C145&lt;&gt;"",VLOOKUP($C145,INDIRECT($J$4),3,FALSE),""),"")</f>
        <v/>
      </c>
      <c r="F145" s="659" t="str">
        <f t="shared" ref="F145:F158" ca="1" si="20">IFERROR(IF(C145&lt;&gt;"",VLOOKUP($C145,INDIRECT($J$4),4,FALSE),""),"")</f>
        <v/>
      </c>
      <c r="G145" s="38"/>
      <c r="H145" s="43"/>
    </row>
    <row r="146" spans="2:8" ht="15.5" x14ac:dyDescent="0.3">
      <c r="B146" s="36"/>
      <c r="C146" s="265" t="s">
        <v>828</v>
      </c>
      <c r="D146" s="655" t="str">
        <f t="shared" ca="1" si="18"/>
        <v/>
      </c>
      <c r="E146" s="716" t="str">
        <f t="shared" ca="1" si="19"/>
        <v/>
      </c>
      <c r="F146" s="659" t="str">
        <f t="shared" ca="1" si="20"/>
        <v/>
      </c>
      <c r="G146" s="38"/>
      <c r="H146" s="43"/>
    </row>
    <row r="147" spans="2:8" ht="15.5" x14ac:dyDescent="0.3">
      <c r="B147" s="36"/>
      <c r="C147" s="265"/>
      <c r="D147" s="687" t="str">
        <f t="shared" ca="1" si="18"/>
        <v/>
      </c>
      <c r="E147" s="688" t="str">
        <f t="shared" ca="1" si="19"/>
        <v/>
      </c>
      <c r="F147" s="660" t="str">
        <f t="shared" ca="1" si="20"/>
        <v/>
      </c>
      <c r="G147" s="38"/>
      <c r="H147" s="43"/>
    </row>
    <row r="148" spans="2:8" ht="15.5" x14ac:dyDescent="0.3">
      <c r="B148" s="36"/>
      <c r="C148" s="265" t="s">
        <v>469</v>
      </c>
      <c r="D148" s="655" t="str">
        <f t="shared" ca="1" si="18"/>
        <v/>
      </c>
      <c r="E148" s="714" t="str">
        <f t="shared" ca="1" si="19"/>
        <v/>
      </c>
      <c r="F148" s="659" t="str">
        <f t="shared" ca="1" si="20"/>
        <v/>
      </c>
      <c r="G148" s="38"/>
      <c r="H148" s="43"/>
    </row>
    <row r="149" spans="2:8" ht="15.5" x14ac:dyDescent="0.3">
      <c r="B149" s="36"/>
      <c r="C149" s="265" t="s">
        <v>474</v>
      </c>
      <c r="D149" s="687" t="str">
        <f t="shared" ca="1" si="18"/>
        <v/>
      </c>
      <c r="E149" s="715" t="str">
        <f t="shared" ca="1" si="19"/>
        <v/>
      </c>
      <c r="F149" s="659" t="str">
        <f t="shared" ca="1" si="20"/>
        <v/>
      </c>
      <c r="G149" s="38"/>
      <c r="H149" s="43"/>
    </row>
    <row r="150" spans="2:8" ht="15.5" x14ac:dyDescent="0.3">
      <c r="B150" s="36"/>
      <c r="C150" s="265" t="s">
        <v>830</v>
      </c>
      <c r="D150" s="655" t="str">
        <f t="shared" ca="1" si="18"/>
        <v/>
      </c>
      <c r="E150" s="716" t="str">
        <f t="shared" ca="1" si="19"/>
        <v/>
      </c>
      <c r="F150" s="659" t="str">
        <f t="shared" ca="1" si="20"/>
        <v/>
      </c>
      <c r="G150" s="38"/>
      <c r="H150" s="43"/>
    </row>
    <row r="151" spans="2:8" ht="15.5" x14ac:dyDescent="0.3">
      <c r="B151" s="36"/>
      <c r="C151" s="265"/>
      <c r="D151" s="687" t="str">
        <f t="shared" ca="1" si="18"/>
        <v/>
      </c>
      <c r="E151" s="688" t="str">
        <f t="shared" ca="1" si="19"/>
        <v/>
      </c>
      <c r="F151" s="660" t="str">
        <f t="shared" ca="1" si="20"/>
        <v/>
      </c>
      <c r="G151" s="38"/>
      <c r="H151" s="43"/>
    </row>
    <row r="152" spans="2:8" ht="15.5" x14ac:dyDescent="0.3">
      <c r="B152" s="36"/>
      <c r="C152" s="265" t="s">
        <v>831</v>
      </c>
      <c r="D152" s="655" t="str">
        <f t="shared" ca="1" si="18"/>
        <v/>
      </c>
      <c r="E152" s="714" t="str">
        <f t="shared" ca="1" si="19"/>
        <v/>
      </c>
      <c r="F152" s="659" t="str">
        <f t="shared" ca="1" si="20"/>
        <v/>
      </c>
      <c r="G152" s="38"/>
      <c r="H152" s="43"/>
    </row>
    <row r="153" spans="2:8" ht="15.5" x14ac:dyDescent="0.3">
      <c r="B153" s="36"/>
      <c r="C153" s="265" t="s">
        <v>832</v>
      </c>
      <c r="D153" s="655" t="str">
        <f t="shared" ca="1" si="18"/>
        <v/>
      </c>
      <c r="E153" s="714" t="str">
        <f t="shared" ca="1" si="19"/>
        <v/>
      </c>
      <c r="F153" s="659" t="str">
        <f t="shared" ca="1" si="20"/>
        <v/>
      </c>
      <c r="G153" s="38"/>
      <c r="H153" s="43"/>
    </row>
    <row r="154" spans="2:8" ht="15.5" x14ac:dyDescent="0.3">
      <c r="B154" s="36"/>
      <c r="C154" s="265" t="s">
        <v>833</v>
      </c>
      <c r="D154" s="655" t="str">
        <f t="shared" ca="1" si="18"/>
        <v/>
      </c>
      <c r="E154" s="716" t="str">
        <f t="shared" ca="1" si="19"/>
        <v/>
      </c>
      <c r="F154" s="659" t="str">
        <f t="shared" ca="1" si="20"/>
        <v/>
      </c>
      <c r="G154" s="38"/>
      <c r="H154" s="43"/>
    </row>
    <row r="155" spans="2:8" ht="15.5" x14ac:dyDescent="0.3">
      <c r="B155" s="36"/>
      <c r="C155" s="265"/>
      <c r="D155" s="655" t="str">
        <f t="shared" ca="1" si="18"/>
        <v/>
      </c>
      <c r="E155" s="686" t="str">
        <f t="shared" ca="1" si="19"/>
        <v/>
      </c>
      <c r="F155" s="659" t="str">
        <f t="shared" ca="1" si="20"/>
        <v/>
      </c>
      <c r="G155" s="38"/>
      <c r="H155" s="43"/>
    </row>
    <row r="156" spans="2:8" ht="15.5" x14ac:dyDescent="0.3">
      <c r="B156" s="36"/>
      <c r="C156" s="265" t="s">
        <v>407</v>
      </c>
      <c r="D156" s="655" t="str">
        <f t="shared" ca="1" si="18"/>
        <v/>
      </c>
      <c r="E156" s="769" t="str">
        <f t="shared" ca="1" si="19"/>
        <v/>
      </c>
      <c r="F156" s="659" t="str">
        <f t="shared" ca="1" si="20"/>
        <v/>
      </c>
      <c r="G156" s="38"/>
      <c r="H156" s="43"/>
    </row>
    <row r="157" spans="2:8" ht="15.5" x14ac:dyDescent="0.3">
      <c r="B157" s="36"/>
      <c r="C157" s="265" t="s">
        <v>834</v>
      </c>
      <c r="D157" s="655" t="str">
        <f t="shared" ca="1" si="18"/>
        <v/>
      </c>
      <c r="E157" s="769" t="str">
        <f t="shared" ca="1" si="19"/>
        <v/>
      </c>
      <c r="F157" s="659" t="str">
        <f t="shared" ca="1" si="20"/>
        <v/>
      </c>
      <c r="G157" s="38"/>
      <c r="H157" s="43"/>
    </row>
    <row r="158" spans="2:8" ht="15.5" x14ac:dyDescent="0.3">
      <c r="B158" s="39"/>
      <c r="C158" s="566" t="s">
        <v>835</v>
      </c>
      <c r="D158" s="661" t="str">
        <f t="shared" ca="1" si="18"/>
        <v/>
      </c>
      <c r="E158" s="761" t="str">
        <f t="shared" ca="1" si="19"/>
        <v/>
      </c>
      <c r="F158" s="676" t="str">
        <f t="shared" ca="1" si="20"/>
        <v/>
      </c>
      <c r="G158" s="40"/>
      <c r="H158" s="43"/>
    </row>
    <row r="159" spans="2:8" ht="15.5" x14ac:dyDescent="0.25">
      <c r="B159" s="43"/>
      <c r="C159" s="43"/>
      <c r="D159" s="43"/>
      <c r="E159" s="43"/>
      <c r="F159" s="622"/>
      <c r="G159" s="43"/>
      <c r="H159" s="43"/>
    </row>
    <row r="160" spans="2:8" ht="15.5" x14ac:dyDescent="0.35">
      <c r="B160" s="187"/>
      <c r="C160" s="188"/>
      <c r="D160" s="631"/>
      <c r="E160" s="631"/>
      <c r="F160" s="631"/>
      <c r="G160" s="189"/>
      <c r="H160" s="43"/>
    </row>
    <row r="161" spans="2:8" ht="15.5" x14ac:dyDescent="0.35">
      <c r="B161" s="190"/>
      <c r="C161" s="254" t="s">
        <v>581</v>
      </c>
      <c r="D161" s="633"/>
      <c r="E161" s="633"/>
      <c r="F161" s="633"/>
      <c r="G161" s="191"/>
      <c r="H161" s="43"/>
    </row>
    <row r="162" spans="2:8" ht="15.5" x14ac:dyDescent="0.35">
      <c r="B162" s="192"/>
      <c r="C162" s="193"/>
      <c r="D162" s="792" t="s">
        <v>891</v>
      </c>
      <c r="E162" s="792" t="s">
        <v>887</v>
      </c>
      <c r="F162" s="792" t="s">
        <v>892</v>
      </c>
      <c r="G162" s="257"/>
      <c r="H162" s="43"/>
    </row>
    <row r="163" spans="2:8" ht="15.5" x14ac:dyDescent="0.35">
      <c r="B163" s="251"/>
      <c r="C163" s="252"/>
      <c r="D163" s="638"/>
      <c r="E163" s="638"/>
      <c r="F163" s="638"/>
      <c r="G163" s="253"/>
      <c r="H163" s="43"/>
    </row>
    <row r="164" spans="2:8" ht="15.5" x14ac:dyDescent="0.3">
      <c r="B164" s="39"/>
      <c r="C164" s="567" t="s">
        <v>836</v>
      </c>
      <c r="D164" s="812" t="str">
        <f ca="1">IFERROR(IF(C164&lt;&gt;"",VLOOKUP($C164,INDIRECT($J$4),2,FALSE),""),"")</f>
        <v/>
      </c>
      <c r="E164" s="811" t="str">
        <f ca="1">IFERROR(IF(C164&lt;&gt;"",VLOOKUP($C164,INDIRECT($J$4),3,FALSE),""),"")</f>
        <v/>
      </c>
      <c r="F164" s="813" t="str">
        <f ca="1">IFERROR(IF(C164&lt;&gt;"",VLOOKUP($C164,INDIRECT($J$4),4,FALSE),""),"")</f>
        <v/>
      </c>
      <c r="G164" s="40"/>
      <c r="H164" s="43"/>
    </row>
    <row r="165" spans="2:8" x14ac:dyDescent="0.25"/>
    <row r="166" spans="2:8" x14ac:dyDescent="0.25"/>
    <row r="167" spans="2:8" x14ac:dyDescent="0.25"/>
    <row r="168" spans="2:8" x14ac:dyDescent="0.25"/>
  </sheetData>
  <mergeCells count="1">
    <mergeCell ref="B2:G2"/>
  </mergeCells>
  <conditionalFormatting sqref="A50:B50">
    <cfRule type="expression" dxfId="96" priority="149">
      <formula>#REF!="N/A"</formula>
    </cfRule>
  </conditionalFormatting>
  <conditionalFormatting sqref="A3:XFD28 A34:XFD49 G50:XFD50 C50:F57 C57:D58 A59:XFD112 A114:XFD164">
    <cfRule type="expression" dxfId="95" priority="9">
      <formula>$E3="N/A"</formula>
    </cfRule>
  </conditionalFormatting>
  <conditionalFormatting sqref="B114:G129">
    <cfRule type="expression" dxfId="94" priority="8">
      <formula>$E114="N/A"</formula>
    </cfRule>
  </conditionalFormatting>
  <conditionalFormatting sqref="C58">
    <cfRule type="expression" dxfId="93" priority="2">
      <formula>$E58="N/A"</formula>
    </cfRule>
  </conditionalFormatting>
  <conditionalFormatting sqref="E32">
    <cfRule type="expression" dxfId="92" priority="7">
      <formula>$E32="N/A"</formula>
    </cfRule>
  </conditionalFormatting>
  <conditionalFormatting sqref="E45">
    <cfRule type="expression" dxfId="91" priority="6">
      <formula>$E45="N/A"</formula>
    </cfRule>
  </conditionalFormatting>
  <conditionalFormatting sqref="E58:F58">
    <cfRule type="expression" dxfId="90" priority="4">
      <formula>$E58="N/A"</formula>
    </cfRule>
  </conditionalFormatting>
  <conditionalFormatting sqref="G51:XFD52">
    <cfRule type="expression" dxfId="89" priority="150">
      <formula>$E50="N/A"</formula>
    </cfRule>
  </conditionalFormatting>
  <conditionalFormatting sqref="G53:XFD53">
    <cfRule type="expression" dxfId="88" priority="160">
      <formula>$E51="N/A"</formula>
    </cfRule>
  </conditionalFormatting>
  <conditionalFormatting sqref="G54:XFD55">
    <cfRule type="expression" dxfId="87" priority="158">
      <formula>$E51="N/A"</formula>
    </cfRule>
  </conditionalFormatting>
  <conditionalFormatting sqref="G56:XFD56">
    <cfRule type="expression" dxfId="86" priority="156">
      <formula>$E51="N/A"</formula>
    </cfRule>
  </conditionalFormatting>
  <conditionalFormatting sqref="G57:XFD57">
    <cfRule type="expression" dxfId="85" priority="154">
      <formula>$E51="N/A"</formula>
    </cfRule>
  </conditionalFormatting>
  <conditionalFormatting sqref="G58:XFD58">
    <cfRule type="expression" dxfId="84" priority="152">
      <formula>$E51="N/A"</formula>
    </cfRule>
  </conditionalFormatting>
  <pageMargins left="0.7" right="0.7" top="0.75" bottom="0.75" header="0.3" footer="0.3"/>
  <pageSetup orientation="portrait" horizontalDpi="4294967293"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4DF3-7BA0-4423-9986-35E9D340ACA3}">
  <sheetPr codeName="Sheet5">
    <tabColor theme="5" tint="0.39997558519241921"/>
  </sheetPr>
  <dimension ref="A1:AQ294"/>
  <sheetViews>
    <sheetView showGridLines="0" topLeftCell="A2" zoomScale="55" zoomScaleNormal="55" workbookViewId="0">
      <selection activeCell="C47" sqref="C47"/>
    </sheetView>
  </sheetViews>
  <sheetFormatPr defaultColWidth="8.54296875" defaultRowHeight="15.5" x14ac:dyDescent="0.25"/>
  <cols>
    <col min="1" max="1" width="4.54296875" style="1069" customWidth="1"/>
    <col min="2" max="2" width="3.54296875" style="1069" customWidth="1"/>
    <col min="3" max="3" width="42.81640625" style="1069" customWidth="1"/>
    <col min="4" max="4" width="4.54296875" style="1069" customWidth="1"/>
    <col min="5" max="11" width="40.54296875" style="1069" customWidth="1"/>
    <col min="12" max="13" width="11.81640625" style="1069" customWidth="1"/>
    <col min="14" max="14" width="25.54296875" style="1069" customWidth="1"/>
    <col min="15" max="15" width="29.453125" style="1069" customWidth="1"/>
    <col min="16" max="16" width="5.81640625" style="1069" customWidth="1"/>
    <col min="17" max="18" width="8.54296875" style="1069" customWidth="1"/>
    <col min="19" max="19" width="15.54296875" style="1069" customWidth="1"/>
    <col min="20" max="21" width="8.54296875" style="1069" customWidth="1"/>
    <col min="22" max="22" width="14.453125" style="1069" customWidth="1"/>
    <col min="23" max="23" width="8.54296875" style="1069" customWidth="1"/>
    <col min="24" max="24" width="14.1796875" style="1069" customWidth="1"/>
    <col min="25" max="29" width="50.54296875" style="1069" customWidth="1"/>
    <col min="30" max="30" width="20.453125" style="1069" customWidth="1"/>
    <col min="31" max="31" width="19.453125" style="1069" customWidth="1"/>
    <col min="32" max="32" width="30.54296875" style="1069" bestFit="1" customWidth="1"/>
    <col min="33" max="33" width="8.54296875" style="1069" customWidth="1"/>
    <col min="34" max="34" width="21.1796875" style="1069" customWidth="1"/>
    <col min="35" max="35" width="18" style="1069" customWidth="1"/>
    <col min="36" max="36" width="29.54296875" style="1069" customWidth="1"/>
    <col min="37" max="37" width="34.54296875" style="1069" customWidth="1"/>
    <col min="38" max="16384" width="8.54296875" style="1069"/>
  </cols>
  <sheetData>
    <row r="1" spans="2:32" ht="33" customHeight="1" x14ac:dyDescent="0.25"/>
    <row r="2" spans="2:32" ht="306.75" customHeight="1" x14ac:dyDescent="0.25"/>
    <row r="3" spans="2:32" ht="51" customHeight="1" x14ac:dyDescent="0.25">
      <c r="B3" s="1884" t="s">
        <v>175</v>
      </c>
      <c r="C3" s="1884"/>
      <c r="D3" s="1884"/>
      <c r="E3" s="1884"/>
      <c r="F3" s="1884"/>
      <c r="G3" s="1884"/>
      <c r="H3" s="1884"/>
      <c r="I3" s="1884"/>
      <c r="J3" s="1884"/>
      <c r="K3" s="1884"/>
      <c r="L3" s="1884"/>
      <c r="M3" s="1884"/>
      <c r="N3" s="1884"/>
      <c r="O3" s="1884"/>
      <c r="P3" s="1884"/>
      <c r="Q3" s="1884"/>
    </row>
    <row r="4" spans="2:32" ht="15.65" customHeight="1" x14ac:dyDescent="0.25">
      <c r="B4" s="1070"/>
      <c r="C4" s="1070"/>
      <c r="D4" s="1070"/>
      <c r="E4" s="1070"/>
      <c r="F4" s="1070"/>
      <c r="G4" s="1070"/>
      <c r="H4" s="1070"/>
      <c r="I4" s="1070"/>
      <c r="J4" s="1070"/>
      <c r="K4" s="1070"/>
      <c r="L4" s="1070"/>
      <c r="M4" s="1070"/>
      <c r="N4" s="1070"/>
      <c r="O4" s="1070"/>
      <c r="P4" s="1070"/>
      <c r="Q4" s="1070"/>
      <c r="Y4" s="1071"/>
      <c r="Z4" s="1072"/>
      <c r="AA4" s="1072"/>
      <c r="AB4" s="1072"/>
      <c r="AC4" s="1072"/>
      <c r="AD4" s="1072"/>
      <c r="AE4" s="1073"/>
      <c r="AF4" s="1073"/>
    </row>
    <row r="5" spans="2:32" ht="15.65" customHeight="1" x14ac:dyDescent="0.25">
      <c r="B5" s="1070"/>
      <c r="C5" s="1074" t="s">
        <v>893</v>
      </c>
      <c r="D5" s="1070"/>
      <c r="E5" s="1070"/>
      <c r="F5" s="1070"/>
      <c r="G5" s="1070"/>
      <c r="H5" s="1070"/>
      <c r="I5" s="1070"/>
      <c r="J5" s="1070"/>
      <c r="K5" s="1070"/>
      <c r="L5" s="1070"/>
      <c r="M5" s="1070"/>
      <c r="N5" s="1070"/>
      <c r="O5" s="1070"/>
      <c r="P5" s="1070"/>
      <c r="Q5" s="1070"/>
      <c r="Y5" s="1075" t="s">
        <v>72</v>
      </c>
      <c r="Z5" s="1076"/>
      <c r="AA5" s="1076"/>
      <c r="AB5" s="1076"/>
      <c r="AC5" s="1076"/>
      <c r="AD5" s="1076"/>
      <c r="AE5" s="1077"/>
      <c r="AF5" s="1077"/>
    </row>
    <row r="6" spans="2:32" ht="15.65" customHeight="1" x14ac:dyDescent="0.25">
      <c r="B6" s="1070"/>
      <c r="C6" s="1070"/>
      <c r="D6" s="1070"/>
      <c r="E6" s="1070"/>
      <c r="F6" s="1070"/>
      <c r="G6" s="1070"/>
      <c r="H6" s="1070"/>
      <c r="I6" s="1070"/>
      <c r="J6" s="1070"/>
      <c r="K6" s="1070"/>
      <c r="L6" s="1070"/>
      <c r="M6" s="1070"/>
      <c r="N6" s="1070"/>
      <c r="O6" s="1070"/>
      <c r="P6" s="1070"/>
      <c r="Q6" s="1070"/>
      <c r="Y6" s="1078"/>
      <c r="Z6" s="1076"/>
      <c r="AA6" s="1076"/>
      <c r="AB6" s="1076"/>
      <c r="AC6" s="1076"/>
      <c r="AD6" s="1076"/>
      <c r="AE6" s="1077"/>
      <c r="AF6" s="1077"/>
    </row>
    <row r="7" spans="2:32" ht="15.65" customHeight="1" x14ac:dyDescent="0.25">
      <c r="Y7" s="263"/>
      <c r="Z7" s="1079"/>
      <c r="AA7" s="1079"/>
      <c r="AB7" s="1079"/>
      <c r="AC7" s="1079"/>
      <c r="AD7" s="1079"/>
      <c r="AE7" s="1079"/>
      <c r="AF7" s="1080"/>
    </row>
    <row r="8" spans="2:32" ht="15.65" customHeight="1" x14ac:dyDescent="0.25">
      <c r="B8" s="1081"/>
      <c r="C8" s="1082"/>
      <c r="D8" s="1082"/>
      <c r="E8" s="1082"/>
      <c r="F8" s="1082"/>
      <c r="G8" s="1082"/>
      <c r="H8" s="1082"/>
      <c r="I8" s="1082"/>
      <c r="J8" s="1082"/>
      <c r="K8" s="1082"/>
      <c r="L8" s="1082"/>
      <c r="M8" s="1082"/>
      <c r="N8" s="1082"/>
      <c r="O8" s="1082"/>
      <c r="P8" s="1082"/>
      <c r="Q8" s="1083"/>
      <c r="Y8" s="263"/>
      <c r="Z8" s="1079"/>
      <c r="AA8" s="1079"/>
      <c r="AB8" s="1079"/>
      <c r="AC8" s="1079"/>
      <c r="AD8" s="1079"/>
      <c r="AE8" s="1079"/>
      <c r="AF8" s="1080"/>
    </row>
    <row r="9" spans="2:32" ht="15.65" customHeight="1" x14ac:dyDescent="0.25">
      <c r="B9" s="1084"/>
      <c r="C9" s="1109" t="s">
        <v>30</v>
      </c>
      <c r="D9" s="1086"/>
      <c r="E9" s="1086"/>
      <c r="F9" s="1086"/>
      <c r="G9" s="1086"/>
      <c r="H9" s="1086"/>
      <c r="I9" s="1086"/>
      <c r="J9" s="1086"/>
      <c r="K9" s="1086"/>
      <c r="L9" s="1086"/>
      <c r="M9" s="1086"/>
      <c r="N9" s="1086"/>
      <c r="O9" s="1086"/>
      <c r="P9" s="1086"/>
      <c r="Q9" s="1087"/>
      <c r="Y9" s="1088"/>
      <c r="Z9" s="1079"/>
      <c r="AA9" s="1079"/>
      <c r="AB9" s="1079"/>
      <c r="AC9" s="1079"/>
      <c r="AD9" s="1079"/>
      <c r="AE9" s="1079"/>
      <c r="AF9" s="1080"/>
    </row>
    <row r="10" spans="2:32" ht="15.65" customHeight="1" x14ac:dyDescent="0.25">
      <c r="B10" s="1089"/>
      <c r="C10" s="1090"/>
      <c r="D10" s="1090"/>
      <c r="E10" s="1091" t="s">
        <v>177</v>
      </c>
      <c r="F10" s="1091"/>
      <c r="G10" s="1090"/>
      <c r="H10" s="1092"/>
      <c r="I10" s="1092"/>
      <c r="J10" s="1093"/>
      <c r="K10" s="1090"/>
      <c r="L10" s="1090"/>
      <c r="M10" s="1090"/>
      <c r="N10" s="1090"/>
      <c r="O10" s="1090"/>
      <c r="P10" s="1090"/>
      <c r="Q10" s="1094"/>
      <c r="Y10" s="1088"/>
      <c r="Z10" s="1079"/>
      <c r="AA10" s="1079"/>
      <c r="AB10" s="1079"/>
      <c r="AC10" s="1079"/>
      <c r="AD10" s="1079"/>
      <c r="AE10" s="1079"/>
      <c r="AF10" s="1080"/>
    </row>
    <row r="11" spans="2:32" ht="15.65" customHeight="1" x14ac:dyDescent="0.25">
      <c r="B11" s="1095"/>
      <c r="C11" s="1096"/>
      <c r="D11" s="1096"/>
      <c r="E11" s="1097"/>
      <c r="F11" s="1096"/>
      <c r="G11" s="1096"/>
      <c r="H11" s="1098"/>
      <c r="I11" s="1098"/>
      <c r="J11" s="1096"/>
      <c r="K11" s="1096"/>
      <c r="L11" s="1096"/>
      <c r="M11" s="1096"/>
      <c r="N11" s="1096"/>
      <c r="O11" s="1096"/>
      <c r="P11" s="1096"/>
      <c r="Q11" s="1099"/>
      <c r="Y11" s="1088"/>
      <c r="Z11" s="1079"/>
      <c r="AA11" s="1079"/>
      <c r="AB11" s="1079"/>
      <c r="AC11" s="1079"/>
      <c r="AD11" s="1079"/>
      <c r="AE11" s="1079"/>
      <c r="AF11" s="1080"/>
    </row>
    <row r="12" spans="2:32" ht="15.65" customHeight="1" x14ac:dyDescent="0.25">
      <c r="B12" s="1095"/>
      <c r="C12" s="1096" t="s">
        <v>182</v>
      </c>
      <c r="D12" s="1096"/>
      <c r="E12" s="1026"/>
      <c r="F12" s="948" t="s">
        <v>183</v>
      </c>
      <c r="G12" s="1096"/>
      <c r="H12" s="1098"/>
      <c r="I12" s="1098"/>
      <c r="J12" s="1101"/>
      <c r="K12" s="1096"/>
      <c r="L12" s="1096"/>
      <c r="M12" s="1096"/>
      <c r="N12" s="1096"/>
      <c r="O12" s="1096"/>
      <c r="P12" s="1096"/>
      <c r="Q12" s="1099"/>
      <c r="Y12" s="1088"/>
      <c r="Z12" s="1102"/>
      <c r="AA12" s="1079"/>
      <c r="AB12" s="1079"/>
      <c r="AC12" s="1079"/>
      <c r="AD12" s="1079"/>
      <c r="AE12" s="1079"/>
      <c r="AF12" s="1080"/>
    </row>
    <row r="13" spans="2:32" ht="15.65" customHeight="1" x14ac:dyDescent="0.25">
      <c r="B13" s="1095"/>
      <c r="C13" s="1096" t="s">
        <v>894</v>
      </c>
      <c r="D13" s="1096"/>
      <c r="E13" s="942"/>
      <c r="F13" s="1456"/>
      <c r="G13" s="1096"/>
      <c r="H13" s="1456"/>
      <c r="I13" s="1456"/>
      <c r="J13" s="1456"/>
      <c r="K13" s="1456"/>
      <c r="L13" s="1096"/>
      <c r="M13" s="1096"/>
      <c r="N13" s="1096"/>
      <c r="O13" s="1096"/>
      <c r="P13" s="1096"/>
      <c r="Q13" s="1099"/>
      <c r="Y13" s="1121" t="s">
        <v>895</v>
      </c>
      <c r="Z13" s="1121" t="s">
        <v>896</v>
      </c>
      <c r="AA13" s="1121" t="s">
        <v>897</v>
      </c>
      <c r="AB13" s="1121" t="s">
        <v>898</v>
      </c>
      <c r="AC13" s="1079"/>
      <c r="AD13" s="1079"/>
      <c r="AE13" s="1079"/>
      <c r="AF13" s="1080"/>
    </row>
    <row r="14" spans="2:32" customFormat="1" x14ac:dyDescent="0.25">
      <c r="B14" s="1095"/>
      <c r="C14" s="1096" t="s">
        <v>899</v>
      </c>
      <c r="D14" s="1096"/>
      <c r="E14" s="574"/>
      <c r="F14" s="482" t="s">
        <v>90</v>
      </c>
      <c r="G14" s="1096"/>
      <c r="H14" s="1098"/>
      <c r="I14" s="1098"/>
      <c r="J14" s="1104"/>
      <c r="K14" s="1096"/>
      <c r="L14" s="1096"/>
      <c r="M14" s="1096"/>
      <c r="N14" s="1096"/>
      <c r="O14" s="1096"/>
      <c r="P14" s="1096"/>
      <c r="Q14" s="1099"/>
      <c r="Y14" s="1477">
        <f>E12*VLOOKUP(F12,massConv[],2,FALSE)</f>
        <v>0</v>
      </c>
      <c r="Z14" s="533">
        <f>IF(E13="No",E14*VLOOKUP(F14,massConv[],2,FALSE), 'Hidden Lists and Summaries'!C44)</f>
        <v>0</v>
      </c>
      <c r="AA14" s="533" t="str">
        <f ca="1">IF(E13="No",E15,amm_netEmissionsIntensity)</f>
        <v>Error -  Review inputs</v>
      </c>
      <c r="AB14" s="533" t="e">
        <f ca="1">Z14*AA14</f>
        <v>#VALUE!</v>
      </c>
      <c r="AF14" s="261"/>
    </row>
    <row r="15" spans="2:32" customFormat="1" x14ac:dyDescent="0.25">
      <c r="B15" s="1095"/>
      <c r="C15" s="1096" t="s">
        <v>900</v>
      </c>
      <c r="D15" s="1096"/>
      <c r="E15" s="857"/>
      <c r="F15" s="905" t="s">
        <v>901</v>
      </c>
      <c r="G15" s="1095"/>
      <c r="H15" s="1098"/>
      <c r="I15" s="1098"/>
      <c r="J15" s="1101"/>
      <c r="K15" s="1096"/>
      <c r="L15" s="1096"/>
      <c r="M15" s="1096"/>
      <c r="N15" s="1096"/>
      <c r="O15" s="1096"/>
      <c r="P15" s="1096"/>
      <c r="Q15" s="1099"/>
      <c r="Y15" s="530"/>
      <c r="AF15" s="261"/>
    </row>
    <row r="16" spans="2:32" ht="15.65" customHeight="1" x14ac:dyDescent="0.25">
      <c r="B16" s="1105"/>
      <c r="C16" s="1106"/>
      <c r="D16" s="1106"/>
      <c r="E16" s="1106"/>
      <c r="F16" s="1106"/>
      <c r="G16" s="1106"/>
      <c r="H16" s="1106"/>
      <c r="I16" s="1106"/>
      <c r="J16" s="1106"/>
      <c r="K16" s="1106"/>
      <c r="L16" s="1106"/>
      <c r="M16" s="1106"/>
      <c r="N16" s="1106"/>
      <c r="O16" s="1106"/>
      <c r="P16" s="1106"/>
      <c r="Q16" s="1107"/>
      <c r="Y16" s="1088"/>
      <c r="Z16" s="1079"/>
      <c r="AA16" s="1079"/>
      <c r="AB16" s="1079"/>
      <c r="AC16" s="1079"/>
      <c r="AD16" s="1079"/>
      <c r="AE16" s="1079"/>
      <c r="AF16" s="1080"/>
    </row>
    <row r="17" spans="2:39" customFormat="1" ht="12.5" x14ac:dyDescent="0.25">
      <c r="B17" s="1108"/>
      <c r="C17" s="1108"/>
      <c r="D17" s="1108"/>
      <c r="E17" s="1108"/>
      <c r="F17" s="1108"/>
      <c r="G17" s="1108"/>
      <c r="H17" s="1108"/>
      <c r="I17" s="1108"/>
      <c r="J17" s="1108"/>
      <c r="K17" s="1108"/>
      <c r="L17" s="1108"/>
      <c r="M17" s="1108"/>
      <c r="N17" s="1108"/>
      <c r="O17" s="1108"/>
      <c r="P17" s="1108"/>
      <c r="Q17" s="1108"/>
      <c r="Y17" s="263"/>
      <c r="AF17" s="261"/>
    </row>
    <row r="18" spans="2:39" customFormat="1" ht="12.5" x14ac:dyDescent="0.25">
      <c r="B18" s="1081"/>
      <c r="C18" s="1082"/>
      <c r="D18" s="1082"/>
      <c r="E18" s="1082"/>
      <c r="F18" s="1082"/>
      <c r="G18" s="1082"/>
      <c r="H18" s="1082"/>
      <c r="I18" s="1082"/>
      <c r="J18" s="1082"/>
      <c r="K18" s="1082"/>
      <c r="L18" s="1082"/>
      <c r="M18" s="1082"/>
      <c r="N18" s="1082"/>
      <c r="O18" s="1082"/>
      <c r="P18" s="1082"/>
      <c r="Q18" s="1083"/>
      <c r="Y18" s="263"/>
      <c r="AF18" s="261"/>
    </row>
    <row r="19" spans="2:39" customFormat="1" x14ac:dyDescent="0.25">
      <c r="B19" s="1084"/>
      <c r="C19" s="1109" t="s">
        <v>48</v>
      </c>
      <c r="D19" s="1086"/>
      <c r="E19" s="1110"/>
      <c r="F19" s="1110"/>
      <c r="G19" s="1086"/>
      <c r="H19" s="1086"/>
      <c r="I19" s="1086"/>
      <c r="J19" s="1086"/>
      <c r="K19" s="1086"/>
      <c r="L19" s="1086"/>
      <c r="M19" s="1086"/>
      <c r="N19" s="1086"/>
      <c r="O19" s="1086"/>
      <c r="P19" s="1086"/>
      <c r="Q19" s="1087"/>
      <c r="Y19" s="263"/>
      <c r="AF19" s="261"/>
    </row>
    <row r="20" spans="2:39" customFormat="1" x14ac:dyDescent="0.25">
      <c r="B20" s="1089"/>
      <c r="C20" s="1090"/>
      <c r="D20" s="1090"/>
      <c r="E20" s="1091" t="s">
        <v>31</v>
      </c>
      <c r="F20" s="1091" t="s">
        <v>184</v>
      </c>
      <c r="G20" s="1091"/>
      <c r="H20" s="1111"/>
      <c r="I20" s="1111"/>
      <c r="J20" s="1093"/>
      <c r="K20" s="1093"/>
      <c r="L20" s="1093"/>
      <c r="M20" s="1093"/>
      <c r="N20" s="1093"/>
      <c r="O20" s="1091"/>
      <c r="P20" s="1093"/>
      <c r="Q20" s="1112"/>
      <c r="Y20" s="263"/>
      <c r="AF20" s="261"/>
    </row>
    <row r="21" spans="2:39" customFormat="1" x14ac:dyDescent="0.25">
      <c r="B21" s="1095"/>
      <c r="C21" s="1096"/>
      <c r="D21" s="1096"/>
      <c r="E21" s="1096"/>
      <c r="F21" s="1096"/>
      <c r="G21" s="1096"/>
      <c r="H21" s="1098"/>
      <c r="I21" s="1098"/>
      <c r="J21" s="1096"/>
      <c r="K21" s="1096"/>
      <c r="L21" s="1096"/>
      <c r="M21" s="1096"/>
      <c r="N21" s="1096"/>
      <c r="O21" s="1096"/>
      <c r="P21" s="1096"/>
      <c r="Q21" s="1099"/>
      <c r="Y21" s="1103" t="s">
        <v>185</v>
      </c>
      <c r="AF21" s="261"/>
    </row>
    <row r="22" spans="2:39" customFormat="1" x14ac:dyDescent="0.25">
      <c r="B22" s="1095"/>
      <c r="C22" s="1113" t="s">
        <v>186</v>
      </c>
      <c r="D22" s="1096"/>
      <c r="E22" s="532"/>
      <c r="F22" s="559" t="s">
        <v>183</v>
      </c>
      <c r="G22" s="1096"/>
      <c r="H22" s="1098"/>
      <c r="I22" s="1098"/>
      <c r="J22" s="1096"/>
      <c r="K22" s="1096"/>
      <c r="L22" s="1096"/>
      <c r="M22" s="1096"/>
      <c r="N22" s="1113"/>
      <c r="O22" s="1113"/>
      <c r="P22" s="1113"/>
      <c r="Q22" s="1099"/>
      <c r="Y22" s="1681">
        <f>E22*VLOOKUP(F22,massConv[#All],2,FALSE)</f>
        <v>0</v>
      </c>
      <c r="AF22" s="261"/>
    </row>
    <row r="23" spans="2:39" customFormat="1" x14ac:dyDescent="0.25">
      <c r="B23" s="1095"/>
      <c r="C23" s="1113" t="s">
        <v>578</v>
      </c>
      <c r="D23" s="1096"/>
      <c r="E23" s="483"/>
      <c r="F23" s="1098"/>
      <c r="G23" s="1096"/>
      <c r="H23" s="1098"/>
      <c r="I23" s="1098"/>
      <c r="J23" s="1096"/>
      <c r="K23" s="1096"/>
      <c r="L23" s="1096"/>
      <c r="M23" s="1096"/>
      <c r="N23" s="1113"/>
      <c r="O23" s="1113"/>
      <c r="P23" s="1113"/>
      <c r="Q23" s="1099"/>
      <c r="Y23" s="263"/>
      <c r="AF23" s="261"/>
    </row>
    <row r="24" spans="2:39" customFormat="1" x14ac:dyDescent="0.25">
      <c r="B24" s="1095"/>
      <c r="C24" s="1101" t="s">
        <v>188</v>
      </c>
      <c r="D24" s="1096"/>
      <c r="E24" s="1528"/>
      <c r="F24" s="1113"/>
      <c r="G24" s="1096"/>
      <c r="H24" s="1098"/>
      <c r="I24" s="1098"/>
      <c r="J24" s="1096"/>
      <c r="K24" s="1096"/>
      <c r="L24" s="1096"/>
      <c r="M24" s="1096"/>
      <c r="N24" s="1113"/>
      <c r="O24" s="1113"/>
      <c r="P24" s="1113"/>
      <c r="Q24" s="1099"/>
      <c r="Y24" s="263"/>
      <c r="AF24" s="261"/>
    </row>
    <row r="25" spans="2:39" customFormat="1" x14ac:dyDescent="0.25">
      <c r="B25" s="1095"/>
      <c r="C25" s="1101" t="s">
        <v>190</v>
      </c>
      <c r="D25" s="1096"/>
      <c r="E25" s="347"/>
      <c r="F25" s="1113"/>
      <c r="G25" s="1096"/>
      <c r="H25" s="1098"/>
      <c r="I25" s="1098"/>
      <c r="J25" s="1096"/>
      <c r="K25" s="1096"/>
      <c r="L25" s="1096"/>
      <c r="M25" s="1096"/>
      <c r="N25" s="1113"/>
      <c r="O25" s="1113"/>
      <c r="P25" s="1113"/>
      <c r="Q25" s="1099"/>
      <c r="Y25" s="263"/>
      <c r="AF25" s="261"/>
    </row>
    <row r="26" spans="2:39" customFormat="1" x14ac:dyDescent="0.25">
      <c r="B26" s="1105"/>
      <c r="C26" s="1115"/>
      <c r="D26" s="1106"/>
      <c r="E26" s="1106"/>
      <c r="F26" s="1106"/>
      <c r="G26" s="1106"/>
      <c r="H26" s="1115"/>
      <c r="I26" s="1115"/>
      <c r="J26" s="1106"/>
      <c r="K26" s="1106"/>
      <c r="L26" s="1106"/>
      <c r="M26" s="1106"/>
      <c r="N26" s="1116"/>
      <c r="O26" s="1117"/>
      <c r="P26" s="1117"/>
      <c r="Q26" s="1107"/>
      <c r="Y26" s="263"/>
      <c r="AF26" s="261"/>
    </row>
    <row r="27" spans="2:39" s="1164" customFormat="1" ht="15.65" customHeight="1" x14ac:dyDescent="0.25">
      <c r="B27" s="1108"/>
      <c r="C27" s="1108"/>
      <c r="D27" s="1108"/>
      <c r="E27" s="1108"/>
      <c r="F27" s="1108"/>
      <c r="G27" s="1108"/>
      <c r="H27" s="1102"/>
      <c r="I27" s="1102"/>
      <c r="J27" s="1108"/>
      <c r="K27" s="1108"/>
      <c r="L27" s="1108"/>
      <c r="M27" s="1108"/>
      <c r="N27" s="1163"/>
      <c r="O27" s="1108"/>
      <c r="P27" s="1108"/>
      <c r="Q27" s="1108"/>
      <c r="Y27" s="1165"/>
      <c r="Z27" s="1102"/>
      <c r="AA27" s="1102"/>
      <c r="AB27" s="1102"/>
      <c r="AC27" s="1102"/>
      <c r="AD27" s="1102"/>
      <c r="AE27" s="1102"/>
      <c r="AF27" s="1166"/>
    </row>
    <row r="28" spans="2:39" ht="15.65" customHeight="1" x14ac:dyDescent="0.25">
      <c r="B28" s="1081"/>
      <c r="C28" s="1082"/>
      <c r="D28" s="1082"/>
      <c r="E28" s="1082"/>
      <c r="F28" s="1082"/>
      <c r="G28" s="1082"/>
      <c r="H28" s="1082"/>
      <c r="I28" s="1082"/>
      <c r="J28" s="1082"/>
      <c r="K28" s="1082"/>
      <c r="L28" s="1082"/>
      <c r="M28" s="1082"/>
      <c r="N28" s="1082"/>
      <c r="O28" s="1082"/>
      <c r="P28" s="1082"/>
      <c r="Q28" s="1083"/>
      <c r="Y28" s="1088"/>
      <c r="Z28" s="1079"/>
      <c r="AA28" s="1079"/>
      <c r="AB28" s="1079"/>
      <c r="AC28" s="1079"/>
      <c r="AD28" s="1079"/>
      <c r="AE28" s="1079"/>
      <c r="AF28" s="1080"/>
    </row>
    <row r="29" spans="2:39" ht="15.65" customHeight="1" x14ac:dyDescent="0.25">
      <c r="B29" s="1084"/>
      <c r="C29" s="1109" t="s">
        <v>197</v>
      </c>
      <c r="D29" s="1086"/>
      <c r="E29" s="1086"/>
      <c r="F29" s="1086"/>
      <c r="G29" s="1086"/>
      <c r="H29" s="1086"/>
      <c r="I29" s="1915" t="s">
        <v>792</v>
      </c>
      <c r="J29" s="1086"/>
      <c r="K29" s="1086"/>
      <c r="L29" s="1086"/>
      <c r="M29" s="1086"/>
      <c r="N29" s="1086"/>
      <c r="O29" s="1086"/>
      <c r="P29" s="1086"/>
      <c r="Q29" s="1087"/>
      <c r="Y29" s="1088"/>
      <c r="Z29" s="1079"/>
      <c r="AA29" s="1079"/>
      <c r="AB29" s="1079"/>
      <c r="AC29" s="1079"/>
      <c r="AD29" s="1079"/>
      <c r="AE29" s="1079"/>
      <c r="AF29" s="1080"/>
    </row>
    <row r="30" spans="2:39" ht="15.65" customHeight="1" x14ac:dyDescent="0.25">
      <c r="B30" s="1089"/>
      <c r="C30" s="1090"/>
      <c r="D30" s="1090"/>
      <c r="E30" s="1091" t="s">
        <v>198</v>
      </c>
      <c r="F30" s="1091" t="s">
        <v>199</v>
      </c>
      <c r="G30" s="1091" t="s">
        <v>200</v>
      </c>
      <c r="H30" s="1091" t="s">
        <v>184</v>
      </c>
      <c r="I30" s="1916"/>
      <c r="J30" s="1120" t="s">
        <v>201</v>
      </c>
      <c r="K30" s="1090"/>
      <c r="L30" s="1090"/>
      <c r="M30" s="1090"/>
      <c r="N30" s="1090"/>
      <c r="O30" s="1091" t="s">
        <v>82</v>
      </c>
      <c r="P30" s="1090"/>
      <c r="Q30" s="1094"/>
      <c r="Y30" s="1121" t="s">
        <v>202</v>
      </c>
      <c r="Z30" s="1122" t="s">
        <v>203</v>
      </c>
      <c r="AA30" s="1122" t="s">
        <v>204</v>
      </c>
      <c r="AB30" s="1122" t="s">
        <v>205</v>
      </c>
      <c r="AC30" s="1122" t="s">
        <v>206</v>
      </c>
      <c r="AD30" s="1122" t="s">
        <v>207</v>
      </c>
      <c r="AE30" s="1123" t="s">
        <v>208</v>
      </c>
      <c r="AF30" s="1080"/>
    </row>
    <row r="31" spans="2:39" ht="15.65" customHeight="1" x14ac:dyDescent="0.25">
      <c r="B31" s="1095"/>
      <c r="C31" s="1096"/>
      <c r="D31" s="1096"/>
      <c r="E31" s="1096"/>
      <c r="F31" s="1096"/>
      <c r="G31" s="1096"/>
      <c r="H31" s="1096"/>
      <c r="I31" s="1228"/>
      <c r="J31" s="1193"/>
      <c r="K31" s="1096"/>
      <c r="L31" s="1096"/>
      <c r="M31" s="1096"/>
      <c r="N31" s="1125"/>
      <c r="O31" s="1322" t="s">
        <v>257</v>
      </c>
      <c r="P31" s="1155"/>
      <c r="Q31" s="1099"/>
      <c r="Y31" s="1121" t="s">
        <v>210</v>
      </c>
      <c r="Z31" s="1122" t="s">
        <v>210</v>
      </c>
      <c r="AA31" s="1122" t="s">
        <v>210</v>
      </c>
      <c r="AB31" s="1122" t="s">
        <v>128</v>
      </c>
      <c r="AC31" s="1128" t="s">
        <v>211</v>
      </c>
      <c r="AD31" s="1122" t="s">
        <v>84</v>
      </c>
      <c r="AE31" s="1123" t="s">
        <v>212</v>
      </c>
      <c r="AF31" s="1080"/>
      <c r="AH31" s="1918" t="s">
        <v>189</v>
      </c>
      <c r="AI31" s="1919"/>
      <c r="AJ31" s="1919"/>
      <c r="AK31" s="1919"/>
      <c r="AL31" s="1919"/>
      <c r="AM31" s="1919"/>
    </row>
    <row r="32" spans="2:39" ht="15.65" customHeight="1" x14ac:dyDescent="0.25">
      <c r="B32" s="1095"/>
      <c r="C32" s="1113" t="s">
        <v>423</v>
      </c>
      <c r="D32" s="1096"/>
      <c r="E32" s="1052"/>
      <c r="F32" s="1055"/>
      <c r="G32" s="807"/>
      <c r="H32" s="498"/>
      <c r="I32" s="949"/>
      <c r="J32" s="798"/>
      <c r="K32" s="1129"/>
      <c r="L32" s="1098"/>
      <c r="M32" s="1098"/>
      <c r="N32" s="1130"/>
      <c r="O32" s="1131">
        <f>IF(AND(F32="",G32="",H32="",I32=""),0,IFERROR(AA32*AB32+AD32*'Key Values'!$C$149,'Hidden Lists and Summaries'!$C$158))</f>
        <v>0</v>
      </c>
      <c r="P32" s="1132" t="s">
        <v>90</v>
      </c>
      <c r="Q32" s="1099"/>
      <c r="Y32" s="1682" t="e">
        <f>IF(OR(($F32='Key Values'!$B$26),($F32='Key Values'!$B$27)),0,VLOOKUP(iq_location,TapWaterEmbodiedEmissions[#All],2,FALSE))</f>
        <v>#N/A</v>
      </c>
      <c r="Z32" s="1683" t="e">
        <f>VLOOKUP(F32,WaterEmbodiedEmissions[#All],2,FALSE)</f>
        <v>#N/A</v>
      </c>
      <c r="AA32" s="1683" t="e">
        <f>IF(I32&lt;&gt;"",I32,Y32+Z32)</f>
        <v>#N/A</v>
      </c>
      <c r="AB32" s="1684" t="e">
        <f>VLOOKUP(H32,Table13[#All], 2, FALSE)*G32</f>
        <v>#N/A</v>
      </c>
      <c r="AC32" s="1584" cm="1">
        <f t="array" ref="AC32">IF(OR(($F32='Key Values'!$B$26),($F32='Key Values'!$B$27)),PumpedWaterSupplyCosts[Pumping to Site (kWh/m3/km)],0)</f>
        <v>0</v>
      </c>
      <c r="AD32" s="1584" t="e">
        <f>AE32*AC32*J32</f>
        <v>#N/A</v>
      </c>
      <c r="AE32" s="1585" t="e">
        <f>G32*VLOOKUP(H32,Table13[#All], 3,FALSE)</f>
        <v>#N/A</v>
      </c>
      <c r="AF32" s="1080"/>
      <c r="AH32" s="1918"/>
      <c r="AI32" s="1919"/>
      <c r="AJ32" s="1919"/>
      <c r="AK32" s="1919"/>
      <c r="AL32" s="1919"/>
      <c r="AM32" s="1919"/>
    </row>
    <row r="33" spans="2:39" ht="15.65" customHeight="1" x14ac:dyDescent="0.25">
      <c r="B33" s="1095"/>
      <c r="C33" s="1113" t="s">
        <v>424</v>
      </c>
      <c r="D33" s="1096"/>
      <c r="E33" s="1053"/>
      <c r="F33" s="1056"/>
      <c r="G33" s="809"/>
      <c r="H33" s="799"/>
      <c r="I33" s="951"/>
      <c r="J33" s="798"/>
      <c r="K33" s="1129"/>
      <c r="L33" s="1098"/>
      <c r="M33" s="1098"/>
      <c r="N33" s="1130"/>
      <c r="O33" s="1131">
        <f>IF(AND(F33="",G33="",H33="",I33=""),0,IFERROR(AA33*AB33+AD33*'Key Values'!$C$149,'Hidden Lists and Summaries'!$C$158))</f>
        <v>0</v>
      </c>
      <c r="P33" s="1132" t="s">
        <v>90</v>
      </c>
      <c r="Q33" s="1099"/>
      <c r="Y33" s="1685" t="e">
        <f>IF(OR(($F33='Key Values'!$B$26),($F33='Key Values'!$B$27)),0,VLOOKUP(iq_location,TapWaterEmbodiedEmissions[#All],2,FALSE))</f>
        <v>#N/A</v>
      </c>
      <c r="Z33" s="1686" t="e">
        <f>VLOOKUP(F33,WaterEmbodiedEmissions[#All],2,FALSE)</f>
        <v>#N/A</v>
      </c>
      <c r="AA33" s="1686" t="e">
        <f>IF(I33&lt;&gt;"",I33,Y33+Z33)</f>
        <v>#N/A</v>
      </c>
      <c r="AB33" s="1624" t="e">
        <f>VLOOKUP(H33,Table13[#All], 2, FALSE)*G33</f>
        <v>#N/A</v>
      </c>
      <c r="AC33" s="1584" cm="1">
        <f t="array" ref="AC33">IF(OR(($F33='Key Values'!$B$26),($F33='Key Values'!$B$27)),PumpedWaterSupplyCosts[Pumping to Site (kWh/m3/km)],0)</f>
        <v>0</v>
      </c>
      <c r="AD33" s="1584" t="e">
        <f>AE33*AC33*J33</f>
        <v>#N/A</v>
      </c>
      <c r="AE33" s="1585" t="e">
        <f>G33*VLOOKUP(H33,Table13[#All], 3,FALSE)</f>
        <v>#N/A</v>
      </c>
      <c r="AF33" s="1080"/>
      <c r="AH33" s="1917" t="s">
        <v>191</v>
      </c>
      <c r="AI33" s="1917" t="s">
        <v>192</v>
      </c>
      <c r="AJ33" s="1917" t="s">
        <v>193</v>
      </c>
      <c r="AK33" s="1917" t="s">
        <v>194</v>
      </c>
      <c r="AL33" s="1917" t="s">
        <v>195</v>
      </c>
      <c r="AM33" s="1917" t="s">
        <v>196</v>
      </c>
    </row>
    <row r="34" spans="2:39" ht="15.65" customHeight="1" x14ac:dyDescent="0.25">
      <c r="B34" s="1095"/>
      <c r="C34" s="1113" t="s">
        <v>425</v>
      </c>
      <c r="D34" s="1096"/>
      <c r="E34" s="1054"/>
      <c r="F34" s="1057"/>
      <c r="G34" s="810"/>
      <c r="H34" s="810"/>
      <c r="I34" s="950"/>
      <c r="J34" s="798"/>
      <c r="K34" s="1129"/>
      <c r="L34" s="1098"/>
      <c r="M34" s="1098"/>
      <c r="N34" s="1130"/>
      <c r="O34" s="1131">
        <f>IF(AND(F34="",G34="",H34="",I34=""),0,IFERROR(AA34*AB34+AD34*'Key Values'!$C$149,'Hidden Lists and Summaries'!$C$158))</f>
        <v>0</v>
      </c>
      <c r="P34" s="1132" t="s">
        <v>90</v>
      </c>
      <c r="Q34" s="1099"/>
      <c r="Y34" s="1685" t="e">
        <f>IF(OR(($F34='Key Values'!$B$26),($F34='Key Values'!$B$27)),0,VLOOKUP(iq_location,TapWaterEmbodiedEmissions[#All],2,FALSE))</f>
        <v>#N/A</v>
      </c>
      <c r="Z34" s="1687" t="e">
        <f>VLOOKUP(F34,WaterEmbodiedEmissions[#All],2,FALSE)</f>
        <v>#N/A</v>
      </c>
      <c r="AA34" s="1686" t="e">
        <f>IF(I34&lt;&gt;"",I34,Y34+Z34)</f>
        <v>#N/A</v>
      </c>
      <c r="AB34" s="1688" t="e">
        <f>VLOOKUP(H34,Table13[#All], 2, FALSE)*G34</f>
        <v>#N/A</v>
      </c>
      <c r="AC34" s="1610" cm="1">
        <f t="array" ref="AC34">IF(OR(($F34='Key Values'!$B$26),($F34='Key Values'!$B$27)),PumpedWaterSupplyCosts[Pumping to Site (kWh/m3/km)],0)</f>
        <v>0</v>
      </c>
      <c r="AD34" s="1610" t="e">
        <f>AE34*AC34*J34</f>
        <v>#N/A</v>
      </c>
      <c r="AE34" s="1655" t="e">
        <f>G34*VLOOKUP(H34,Table13[#All], 3,FALSE)</f>
        <v>#N/A</v>
      </c>
      <c r="AF34" s="1080"/>
      <c r="AH34" s="1917"/>
      <c r="AI34" s="1917"/>
      <c r="AJ34" s="1917"/>
      <c r="AK34" s="1917"/>
      <c r="AL34" s="1917"/>
      <c r="AM34" s="1917"/>
    </row>
    <row r="35" spans="2:39" ht="15.65" customHeight="1" x14ac:dyDescent="0.25">
      <c r="B35" s="1105"/>
      <c r="C35" s="1106"/>
      <c r="D35" s="1106"/>
      <c r="E35" s="1106"/>
      <c r="F35" s="1106"/>
      <c r="G35" s="1106"/>
      <c r="H35" s="1115"/>
      <c r="I35" s="1115"/>
      <c r="J35" s="1106"/>
      <c r="K35" s="1106"/>
      <c r="L35" s="1106"/>
      <c r="M35" s="1106"/>
      <c r="N35" s="1144" t="s">
        <v>120</v>
      </c>
      <c r="O35" s="1145">
        <f>SUM(O32:O34)</f>
        <v>0</v>
      </c>
      <c r="P35" s="1146" t="s">
        <v>90</v>
      </c>
      <c r="Q35" s="1107"/>
      <c r="Y35" s="1147"/>
      <c r="Z35" s="1079"/>
      <c r="AA35" s="1148"/>
      <c r="AB35" s="1079"/>
      <c r="AC35" s="1079"/>
      <c r="AD35" s="1079"/>
      <c r="AE35" s="1079"/>
      <c r="AF35" s="1080"/>
      <c r="AH35" s="1147"/>
      <c r="AI35" s="1148">
        <f>O35</f>
        <v>0</v>
      </c>
      <c r="AJ35" s="1148"/>
      <c r="AK35" s="1148" t="str">
        <f>'Hidden Lists and Summaries'!$B$5</f>
        <v>Embodied (Upstream)</v>
      </c>
      <c r="AL35" s="1148"/>
      <c r="AM35" s="1149" t="s">
        <v>214</v>
      </c>
    </row>
    <row r="36" spans="2:39" ht="15.65" customHeight="1" x14ac:dyDescent="0.25">
      <c r="B36" s="1118"/>
      <c r="C36" s="1118"/>
      <c r="D36" s="1118"/>
      <c r="E36" s="1118"/>
      <c r="F36" s="1118"/>
      <c r="G36" s="1118"/>
      <c r="H36" s="1118"/>
      <c r="I36" s="1118"/>
      <c r="J36" s="1118"/>
      <c r="K36" s="1118"/>
      <c r="L36" s="1118"/>
      <c r="M36" s="1118"/>
      <c r="N36" s="1118"/>
      <c r="O36" s="1118"/>
      <c r="P36" s="1118"/>
      <c r="Q36" s="1118"/>
      <c r="Y36" s="1088"/>
      <c r="Z36" s="1079"/>
      <c r="AA36" s="1079"/>
      <c r="AB36" s="1079"/>
      <c r="AC36" s="1079"/>
      <c r="AD36" s="1079"/>
      <c r="AE36" s="1079"/>
      <c r="AF36" s="1080"/>
      <c r="AH36" s="1088"/>
      <c r="AI36" s="1079"/>
      <c r="AJ36" s="1079"/>
      <c r="AK36" s="1079"/>
      <c r="AL36" s="1079"/>
      <c r="AM36" s="1080"/>
    </row>
    <row r="37" spans="2:39" ht="15.65" customHeight="1" x14ac:dyDescent="0.25">
      <c r="B37" s="1081"/>
      <c r="C37" s="1082"/>
      <c r="D37" s="1082"/>
      <c r="E37" s="1082"/>
      <c r="F37" s="1150" t="s">
        <v>793</v>
      </c>
      <c r="G37" s="1082"/>
      <c r="H37" s="1082"/>
      <c r="I37" s="1082"/>
      <c r="J37" s="1082"/>
      <c r="K37" s="1082"/>
      <c r="L37" s="1082"/>
      <c r="M37" s="1082"/>
      <c r="N37" s="1082"/>
      <c r="O37" s="1082"/>
      <c r="P37" s="1082"/>
      <c r="Q37" s="1083"/>
      <c r="Y37" s="1088"/>
      <c r="Z37" s="1079"/>
      <c r="AA37" s="1079"/>
      <c r="AB37" s="1079"/>
      <c r="AC37" s="1079"/>
      <c r="AD37" s="1079"/>
      <c r="AE37" s="1079"/>
      <c r="AF37" s="1080"/>
      <c r="AH37" s="1088"/>
      <c r="AI37" s="1079"/>
      <c r="AJ37" s="1079"/>
      <c r="AK37" s="1079"/>
      <c r="AL37" s="1079"/>
      <c r="AM37" s="1080"/>
    </row>
    <row r="38" spans="2:39" ht="15.65" customHeight="1" x14ac:dyDescent="0.25">
      <c r="B38" s="1084"/>
      <c r="C38" s="1109" t="s">
        <v>217</v>
      </c>
      <c r="D38" s="1151"/>
      <c r="E38" s="1151"/>
      <c r="F38" s="1151"/>
      <c r="G38" s="1151"/>
      <c r="H38" s="1915" t="s">
        <v>794</v>
      </c>
      <c r="I38" s="1152"/>
      <c r="J38" s="1152"/>
      <c r="K38" s="1151"/>
      <c r="L38" s="1151"/>
      <c r="M38" s="1151"/>
      <c r="N38" s="1151"/>
      <c r="O38" s="1151"/>
      <c r="P38" s="1151"/>
      <c r="Q38" s="1087"/>
      <c r="Y38" s="1088"/>
      <c r="Z38" s="1079"/>
      <c r="AA38" s="1079"/>
      <c r="AB38" s="1079"/>
      <c r="AC38" s="1079"/>
      <c r="AD38" s="1079"/>
      <c r="AE38" s="1079"/>
      <c r="AF38" s="1080"/>
      <c r="AH38" s="1088"/>
      <c r="AI38" s="1079"/>
      <c r="AJ38" s="1079"/>
      <c r="AK38" s="1079"/>
      <c r="AL38" s="1079"/>
      <c r="AM38" s="1080"/>
    </row>
    <row r="39" spans="2:39" ht="15.65" customHeight="1" x14ac:dyDescent="0.25">
      <c r="B39" s="1089"/>
      <c r="C39" s="1090"/>
      <c r="D39" s="1090"/>
      <c r="E39" s="1091" t="s">
        <v>218</v>
      </c>
      <c r="F39" s="1091" t="s">
        <v>200</v>
      </c>
      <c r="G39" s="1091" t="s">
        <v>184</v>
      </c>
      <c r="H39" s="1916"/>
      <c r="I39" s="1111" t="s">
        <v>201</v>
      </c>
      <c r="J39" s="1092"/>
      <c r="K39" s="1090"/>
      <c r="L39" s="1090"/>
      <c r="M39" s="1090"/>
      <c r="N39" s="1090"/>
      <c r="O39" s="1091" t="s">
        <v>82</v>
      </c>
      <c r="P39" s="1090"/>
      <c r="Q39" s="1094"/>
      <c r="Y39" s="1153" t="s">
        <v>219</v>
      </c>
      <c r="Z39" s="1154" t="s">
        <v>206</v>
      </c>
      <c r="AA39" s="1122" t="s">
        <v>220</v>
      </c>
      <c r="AB39" s="1122" t="s">
        <v>221</v>
      </c>
      <c r="AC39" s="1122" t="s">
        <v>222</v>
      </c>
      <c r="AD39" s="1079"/>
      <c r="AE39" s="1079"/>
      <c r="AF39" s="1080"/>
      <c r="AH39" s="1088"/>
      <c r="AI39" s="1079"/>
      <c r="AJ39" s="1079"/>
      <c r="AK39" s="1079"/>
      <c r="AL39" s="1079"/>
      <c r="AM39" s="1080"/>
    </row>
    <row r="40" spans="2:39" ht="15.65" customHeight="1" x14ac:dyDescent="0.25">
      <c r="B40" s="1095"/>
      <c r="C40" s="1096"/>
      <c r="D40" s="1096"/>
      <c r="E40" s="1096"/>
      <c r="F40" s="1096"/>
      <c r="G40" s="1096"/>
      <c r="H40" s="1098"/>
      <c r="I40" s="1098"/>
      <c r="J40" s="1113"/>
      <c r="K40" s="1113"/>
      <c r="L40" s="1113"/>
      <c r="M40" s="1113"/>
      <c r="N40" s="1125"/>
      <c r="O40" s="1322" t="s">
        <v>257</v>
      </c>
      <c r="P40" s="1155"/>
      <c r="Q40" s="1099"/>
      <c r="Y40" s="1156" t="s">
        <v>223</v>
      </c>
      <c r="Z40" s="1157" t="s">
        <v>211</v>
      </c>
      <c r="AA40" s="1122" t="s">
        <v>84</v>
      </c>
      <c r="AB40" s="1462"/>
      <c r="AC40" s="1122" t="s">
        <v>224</v>
      </c>
      <c r="AD40" s="1079"/>
      <c r="AE40" s="1079"/>
      <c r="AF40" s="1080"/>
      <c r="AH40" s="1088"/>
      <c r="AI40" s="1079"/>
      <c r="AJ40" s="1079"/>
      <c r="AK40" s="1079"/>
      <c r="AL40" s="1079"/>
      <c r="AM40" s="1080"/>
    </row>
    <row r="41" spans="2:39" ht="15.65" customHeight="1" x14ac:dyDescent="0.25">
      <c r="B41" s="1095"/>
      <c r="C41" s="1113" t="s">
        <v>502</v>
      </c>
      <c r="D41" s="1096"/>
      <c r="E41" s="353"/>
      <c r="F41" s="354"/>
      <c r="G41" s="503"/>
      <c r="H41" s="1317"/>
      <c r="I41" s="999"/>
      <c r="J41" s="1158"/>
      <c r="K41" s="1113"/>
      <c r="L41" s="1113"/>
      <c r="M41" s="1113"/>
      <c r="N41" s="1130"/>
      <c r="O41" s="1131">
        <f>IF(AND(F41="",G41="",I41=""),0,IFERROR(IF(H41&lt;&gt;"",AC41*AB41,AA41*'Key Values'!$C$149),'Hidden Lists and Summaries'!$C$158))</f>
        <v>0</v>
      </c>
      <c r="P41" s="1132" t="s">
        <v>90</v>
      </c>
      <c r="Q41" s="1099"/>
      <c r="Y41" s="1463">
        <f>'Key Values'!$C$31</f>
        <v>9.2999999999999999E-2</v>
      </c>
      <c r="Z41" s="1464">
        <f>'Key Values'!$D$31</f>
        <v>3.6700000000000003E-2</v>
      </c>
      <c r="AA41" s="1159" t="e">
        <f>AB41*Y41+AB41*I41*Z41</f>
        <v>#N/A</v>
      </c>
      <c r="AB41" s="1160" t="e">
        <f>VLOOKUP(G41,Table13[#All], 3, FALSE)*F41</f>
        <v>#N/A</v>
      </c>
      <c r="AC41" s="1079">
        <f>H41</f>
        <v>0</v>
      </c>
      <c r="AD41" s="1088"/>
      <c r="AE41" s="1079"/>
      <c r="AF41" s="1080"/>
      <c r="AH41" s="1088"/>
      <c r="AI41" s="1079"/>
      <c r="AJ41" s="1079"/>
      <c r="AK41" s="1079"/>
      <c r="AL41" s="1079"/>
      <c r="AM41" s="1080"/>
    </row>
    <row r="42" spans="2:39" ht="15.65" customHeight="1" x14ac:dyDescent="0.25">
      <c r="B42" s="1105"/>
      <c r="C42" s="1106"/>
      <c r="D42" s="1106"/>
      <c r="E42" s="1106"/>
      <c r="F42" s="1106"/>
      <c r="G42" s="1106"/>
      <c r="H42" s="1161"/>
      <c r="I42" s="1115"/>
      <c r="J42" s="1161"/>
      <c r="K42" s="1161"/>
      <c r="L42" s="1161"/>
      <c r="M42" s="1161"/>
      <c r="N42" s="1144" t="s">
        <v>120</v>
      </c>
      <c r="O42" s="1145">
        <f>SUM(O41)</f>
        <v>0</v>
      </c>
      <c r="P42" s="1146" t="s">
        <v>90</v>
      </c>
      <c r="Q42" s="1107"/>
      <c r="Y42" s="1088"/>
      <c r="Z42" s="1079"/>
      <c r="AA42" s="1079"/>
      <c r="AB42" s="1079"/>
      <c r="AC42" s="1148"/>
      <c r="AD42" s="1079"/>
      <c r="AE42" s="1079"/>
      <c r="AF42" s="1080"/>
      <c r="AH42" s="1088"/>
      <c r="AI42" s="1079">
        <f>O42</f>
        <v>0</v>
      </c>
      <c r="AJ42" s="1079"/>
      <c r="AK42" s="1079" t="str">
        <f>'Hidden Lists and Summaries'!$B$5</f>
        <v>Embodied (Upstream)</v>
      </c>
      <c r="AL42" s="1079"/>
      <c r="AM42" s="1080" t="s">
        <v>214</v>
      </c>
    </row>
    <row r="43" spans="2:39" ht="15.65" customHeight="1" x14ac:dyDescent="0.25">
      <c r="B43" s="1118"/>
      <c r="C43" s="1118"/>
      <c r="D43" s="1118"/>
      <c r="E43" s="1118"/>
      <c r="F43" s="1118"/>
      <c r="G43" s="1118"/>
      <c r="H43" s="1118"/>
      <c r="I43" s="1118"/>
      <c r="J43" s="1118"/>
      <c r="K43" s="1118"/>
      <c r="L43" s="1118"/>
      <c r="M43" s="1118"/>
      <c r="N43" s="1118"/>
      <c r="O43" s="1118"/>
      <c r="P43" s="1118"/>
      <c r="Q43" s="1118"/>
      <c r="Y43" s="1088"/>
      <c r="Z43" s="1079"/>
      <c r="AA43" s="1079"/>
      <c r="AB43" s="1079"/>
      <c r="AC43" s="1079"/>
      <c r="AD43" s="1079"/>
      <c r="AE43" s="1079"/>
      <c r="AF43" s="1080"/>
      <c r="AH43" s="1088"/>
      <c r="AI43" s="1079"/>
      <c r="AJ43" s="1079"/>
      <c r="AK43" s="1079"/>
      <c r="AL43" s="1079"/>
      <c r="AM43" s="1080"/>
    </row>
    <row r="44" spans="2:39" ht="15.65" customHeight="1" x14ac:dyDescent="0.25">
      <c r="B44" s="1081"/>
      <c r="C44" s="1082"/>
      <c r="D44" s="1082"/>
      <c r="E44" s="1082"/>
      <c r="F44" s="1082"/>
      <c r="G44" s="1082"/>
      <c r="H44" s="1082"/>
      <c r="I44" s="1082"/>
      <c r="J44" s="1082"/>
      <c r="K44" s="1082"/>
      <c r="L44" s="1082"/>
      <c r="M44" s="1082"/>
      <c r="N44" s="1082"/>
      <c r="O44" s="1082"/>
      <c r="P44" s="1082"/>
      <c r="Q44" s="1083"/>
      <c r="Y44" s="1088"/>
      <c r="Z44" s="1079"/>
      <c r="AA44" s="1079"/>
      <c r="AB44" s="1079"/>
      <c r="AC44" s="1079"/>
      <c r="AD44" s="1079"/>
      <c r="AE44" s="1079"/>
      <c r="AF44" s="1080"/>
      <c r="AH44" s="1088"/>
      <c r="AI44" s="1079"/>
      <c r="AJ44" s="1079"/>
      <c r="AK44" s="1079"/>
      <c r="AL44" s="1079"/>
      <c r="AM44" s="1080"/>
    </row>
    <row r="45" spans="2:39" ht="15" customHeight="1" x14ac:dyDescent="0.25">
      <c r="B45" s="1084"/>
      <c r="C45" s="1109" t="s">
        <v>227</v>
      </c>
      <c r="D45" s="1086"/>
      <c r="E45" s="1086"/>
      <c r="F45" s="1086"/>
      <c r="G45" s="1086"/>
      <c r="H45" s="1086"/>
      <c r="I45" s="1086"/>
      <c r="J45" s="1086"/>
      <c r="K45" s="1086"/>
      <c r="L45" s="1086"/>
      <c r="M45" s="1086"/>
      <c r="N45" s="1086"/>
      <c r="O45" s="1086"/>
      <c r="P45" s="1086"/>
      <c r="Q45" s="1087"/>
      <c r="Y45" s="1088"/>
      <c r="Z45" s="1079"/>
      <c r="AA45" s="1079"/>
      <c r="AB45" s="1079"/>
      <c r="AC45" s="1079"/>
      <c r="AD45" s="1079"/>
      <c r="AE45" s="1079"/>
      <c r="AF45" s="1080"/>
      <c r="AH45" s="1088"/>
      <c r="AI45" s="1079"/>
      <c r="AJ45" s="1079"/>
      <c r="AK45" s="1079"/>
      <c r="AL45" s="1079"/>
      <c r="AM45" s="1080"/>
    </row>
    <row r="46" spans="2:39" ht="15.65" customHeight="1" x14ac:dyDescent="0.25">
      <c r="B46" s="1089"/>
      <c r="C46" s="1090"/>
      <c r="D46" s="1090"/>
      <c r="E46" s="1091" t="s">
        <v>80</v>
      </c>
      <c r="F46" s="1091" t="s">
        <v>81</v>
      </c>
      <c r="G46" s="1092"/>
      <c r="H46" s="1092"/>
      <c r="I46" s="1092"/>
      <c r="J46" s="1093"/>
      <c r="K46" s="1090"/>
      <c r="L46" s="1090"/>
      <c r="M46" s="1090"/>
      <c r="N46" s="1090"/>
      <c r="O46" s="1091" t="s">
        <v>82</v>
      </c>
      <c r="P46" s="1090"/>
      <c r="Q46" s="1094"/>
      <c r="Y46" s="1153" t="s">
        <v>228</v>
      </c>
      <c r="Z46" s="1153" t="s">
        <v>229</v>
      </c>
      <c r="AA46" s="1154" t="s">
        <v>230</v>
      </c>
      <c r="AB46" s="1154" t="s">
        <v>231</v>
      </c>
      <c r="AC46" s="1154" t="s">
        <v>232</v>
      </c>
      <c r="AD46" s="1168" t="s">
        <v>233</v>
      </c>
      <c r="AE46" s="1169" t="s">
        <v>234</v>
      </c>
      <c r="AF46" s="1080"/>
      <c r="AH46" s="1088"/>
      <c r="AI46" s="1079"/>
      <c r="AJ46" s="1079"/>
      <c r="AK46" s="1079"/>
      <c r="AL46" s="1079"/>
      <c r="AM46" s="1080"/>
    </row>
    <row r="47" spans="2:39" ht="15.65" customHeight="1" x14ac:dyDescent="0.25">
      <c r="B47" s="1170"/>
      <c r="C47" s="1171"/>
      <c r="D47" s="1171"/>
      <c r="E47" s="1172"/>
      <c r="F47" s="1172"/>
      <c r="G47" s="1173"/>
      <c r="H47" s="1173"/>
      <c r="I47" s="1173"/>
      <c r="J47" s="1174"/>
      <c r="K47" s="1171"/>
      <c r="L47" s="1171"/>
      <c r="M47" s="1171"/>
      <c r="N47" s="1171"/>
      <c r="O47" s="1172"/>
      <c r="P47" s="1171"/>
      <c r="Q47" s="1175"/>
      <c r="Y47" s="1156"/>
      <c r="Z47" s="1156" t="s">
        <v>84</v>
      </c>
      <c r="AA47" s="1154" t="s">
        <v>84</v>
      </c>
      <c r="AB47" s="1157"/>
      <c r="AC47" s="1157"/>
      <c r="AD47" s="1168"/>
      <c r="AE47" s="1169"/>
      <c r="AF47" s="1080"/>
      <c r="AH47" s="1088"/>
      <c r="AI47" s="1079"/>
      <c r="AJ47" s="1079"/>
      <c r="AK47" s="1079"/>
      <c r="AL47" s="1079"/>
      <c r="AM47" s="1080"/>
    </row>
    <row r="48" spans="2:39" ht="15.65" customHeight="1" x14ac:dyDescent="0.25">
      <c r="B48" s="1095"/>
      <c r="C48" s="1189" t="s">
        <v>235</v>
      </c>
      <c r="D48" s="1096"/>
      <c r="E48" s="552"/>
      <c r="F48" s="906" t="s">
        <v>86</v>
      </c>
      <c r="G48" s="75"/>
      <c r="H48" s="1098"/>
      <c r="I48" s="1098"/>
      <c r="J48" s="1096"/>
      <c r="K48" s="1096"/>
      <c r="L48" s="1096"/>
      <c r="M48" s="1096"/>
      <c r="N48" s="1096"/>
      <c r="O48" s="1096"/>
      <c r="P48" s="1096"/>
      <c r="Q48" s="1099"/>
      <c r="Y48" s="554" t="s">
        <v>120</v>
      </c>
      <c r="Z48" s="104">
        <f>E48*VLOOKUP(F48,EnergyConversionTable[],3)</f>
        <v>0</v>
      </c>
      <c r="AA48" s="104"/>
      <c r="AB48" s="278"/>
      <c r="AC48" s="1147" t="s">
        <v>236</v>
      </c>
      <c r="AD48" s="1179" t="str">
        <f>overall_locationBasedImportEmissions</f>
        <v>Error -  Review inputs</v>
      </c>
      <c r="AE48" s="1149">
        <f>AB51</f>
        <v>0</v>
      </c>
      <c r="AF48" s="1080"/>
      <c r="AH48" s="1088"/>
      <c r="AI48" s="1079"/>
      <c r="AJ48" s="1079"/>
      <c r="AK48" s="1079"/>
      <c r="AL48" s="1079"/>
      <c r="AM48" s="1080"/>
    </row>
    <row r="49" spans="1:39" x14ac:dyDescent="0.25">
      <c r="B49" s="1095"/>
      <c r="C49" s="1180" t="s">
        <v>237</v>
      </c>
      <c r="D49" s="1096"/>
      <c r="E49" s="548"/>
      <c r="F49" s="907" t="s">
        <v>86</v>
      </c>
      <c r="G49" s="75" t="str">
        <f>IF('Electricity Usage'!$H$71&gt;1,'Hidden Lists and Summaries'!$D$160,"")</f>
        <v/>
      </c>
      <c r="H49" s="1098"/>
      <c r="I49" s="1098"/>
      <c r="J49" s="1096"/>
      <c r="K49" s="1096"/>
      <c r="L49" s="1096"/>
      <c r="M49" s="1096"/>
      <c r="N49" s="1182" t="s">
        <v>236</v>
      </c>
      <c r="O49" s="1183" t="str">
        <f>IFERROR(AD48*AE48,'Hidden Lists and Summaries'!$C$158)</f>
        <v>Error -  Review inputs</v>
      </c>
      <c r="P49" s="1184" t="s">
        <v>90</v>
      </c>
      <c r="Q49" s="1099"/>
      <c r="Y49" s="555" t="s">
        <v>238</v>
      </c>
      <c r="Z49" s="91">
        <f>E49*VLOOKUP(F49,EnergyConversionTable[],3)</f>
        <v>0</v>
      </c>
      <c r="AA49" s="91"/>
      <c r="AB49" s="218"/>
      <c r="AC49" s="1088" t="s">
        <v>239</v>
      </c>
      <c r="AD49" s="1186">
        <f>overall_ImportEmissions</f>
        <v>0</v>
      </c>
      <c r="AE49" s="1080">
        <f>AB51</f>
        <v>0</v>
      </c>
      <c r="AF49" s="1080"/>
      <c r="AH49" s="1088"/>
      <c r="AI49" s="1102">
        <f>O50</f>
        <v>0</v>
      </c>
      <c r="AJ49" s="1102"/>
      <c r="AK49" s="1102" t="s">
        <v>240</v>
      </c>
      <c r="AL49" s="1079"/>
      <c r="AM49" s="1080"/>
    </row>
    <row r="50" spans="1:39" ht="15.65" customHeight="1" x14ac:dyDescent="0.25">
      <c r="B50" s="1095"/>
      <c r="C50" s="1180"/>
      <c r="D50" s="1187"/>
      <c r="E50" s="1173"/>
      <c r="F50" s="75"/>
      <c r="G50" s="75"/>
      <c r="H50" s="1098"/>
      <c r="I50" s="1098"/>
      <c r="J50" s="1098"/>
      <c r="K50" s="1098"/>
      <c r="L50" s="1096"/>
      <c r="M50" s="1096"/>
      <c r="N50" s="1130" t="s">
        <v>239</v>
      </c>
      <c r="O50" s="1131">
        <f>IFERROR(AD49*AE49,'Hidden Lists and Summaries'!$C$158)</f>
        <v>0</v>
      </c>
      <c r="P50" s="1132" t="s">
        <v>90</v>
      </c>
      <c r="Q50" s="1099"/>
      <c r="Y50" s="555" t="s">
        <v>241</v>
      </c>
      <c r="Z50" s="91">
        <f>E49*VLOOKUP(F49,EnergyConversionTable[],3)</f>
        <v>0</v>
      </c>
      <c r="AA50" s="91">
        <f>overall_onsiteElecGenRenewables+overall_verifiedRenewableElectricityImported</f>
        <v>0</v>
      </c>
      <c r="AB50" s="218">
        <f>IF(AA50=0,0,Z50/AA50)</f>
        <v>0</v>
      </c>
      <c r="AC50" s="1088" t="s">
        <v>242</v>
      </c>
      <c r="AD50" s="1186">
        <f>total_embodiedEmissionsCombustionBasedElectricity</f>
        <v>0</v>
      </c>
      <c r="AE50" s="1080">
        <f>AB52</f>
        <v>0</v>
      </c>
      <c r="AF50" s="1080"/>
      <c r="AH50" s="1088"/>
      <c r="AI50" s="1102">
        <f>O51</f>
        <v>0</v>
      </c>
      <c r="AJ50" s="1102"/>
      <c r="AK50" s="1079" t="str">
        <f>'Hidden Lists and Summaries'!$B$5</f>
        <v>Embodied (Upstream)</v>
      </c>
      <c r="AL50" s="1079"/>
      <c r="AM50" s="1080" t="s">
        <v>243</v>
      </c>
    </row>
    <row r="51" spans="1:39" ht="15.65" customHeight="1" x14ac:dyDescent="0.25">
      <c r="B51" s="1095"/>
      <c r="C51" s="1176" t="s">
        <v>244</v>
      </c>
      <c r="D51" s="1188"/>
      <c r="E51" s="552"/>
      <c r="F51" s="906" t="s">
        <v>86</v>
      </c>
      <c r="G51" s="75" t="str">
        <f>IF('Electricity Usage'!$E$71&gt;1,'Hidden Lists and Summaries'!$D$157,"")</f>
        <v/>
      </c>
      <c r="H51" s="1098"/>
      <c r="I51" s="1098"/>
      <c r="J51" s="1096"/>
      <c r="K51" s="1096"/>
      <c r="L51" s="1096"/>
      <c r="M51" s="1096"/>
      <c r="N51" s="1130" t="s">
        <v>242</v>
      </c>
      <c r="O51" s="1131">
        <f>IFERROR(AD50*AE50,'Hidden Lists and Summaries'!$C$158)</f>
        <v>0</v>
      </c>
      <c r="P51" s="1132" t="s">
        <v>90</v>
      </c>
      <c r="Q51" s="1099"/>
      <c r="Y51" s="555" t="s">
        <v>246</v>
      </c>
      <c r="Z51" s="91">
        <f>E51*VLOOKUP(F51,EnergyConversionTable[],3)</f>
        <v>0</v>
      </c>
      <c r="AA51" s="91">
        <f>overall_totalImportedElectricity</f>
        <v>0</v>
      </c>
      <c r="AB51" s="218">
        <f>IF(AA51=0,0,Z51/AA51)</f>
        <v>0</v>
      </c>
      <c r="AC51" s="1197" t="s">
        <v>247</v>
      </c>
      <c r="AD51" s="1400">
        <f>total_emissionsCombustionBasedElectricity</f>
        <v>0</v>
      </c>
      <c r="AE51" s="1143">
        <f>AB52</f>
        <v>0</v>
      </c>
      <c r="AF51" s="1080"/>
      <c r="AH51" s="1088"/>
      <c r="AI51" s="1102">
        <f>O52</f>
        <v>0</v>
      </c>
      <c r="AJ51" s="1102"/>
      <c r="AK51" s="1102" t="s">
        <v>248</v>
      </c>
      <c r="AL51" s="1079"/>
      <c r="AM51" s="1080"/>
    </row>
    <row r="52" spans="1:39" ht="15" customHeight="1" x14ac:dyDescent="0.25">
      <c r="B52" s="1095"/>
      <c r="C52" s="1921" t="s">
        <v>249</v>
      </c>
      <c r="D52" s="1096"/>
      <c r="E52" s="548"/>
      <c r="F52" s="907" t="s">
        <v>86</v>
      </c>
      <c r="G52" s="75" t="str">
        <f>IF('Electricity Usage'!$F$71&gt;1,'Hidden Lists and Summaries'!$D$158,"")</f>
        <v/>
      </c>
      <c r="H52" s="1098"/>
      <c r="I52" s="1098"/>
      <c r="J52" s="1096"/>
      <c r="K52" s="1096"/>
      <c r="L52" s="1096"/>
      <c r="M52" s="1096"/>
      <c r="N52" s="1130" t="s">
        <v>247</v>
      </c>
      <c r="O52" s="1131">
        <f>IFERROR(AD51*AE51,'Hidden Lists and Summaries'!$C$158)</f>
        <v>0</v>
      </c>
      <c r="P52" s="1132" t="s">
        <v>90</v>
      </c>
      <c r="Q52" s="1099"/>
      <c r="Y52" s="556" t="s">
        <v>251</v>
      </c>
      <c r="Z52" s="185">
        <f>E52*VLOOKUP(F52,EnergyConversionTable[],3)</f>
        <v>0</v>
      </c>
      <c r="AA52" s="185">
        <f>overall_totalOnsiteCombustionElecGen</f>
        <v>0</v>
      </c>
      <c r="AB52" s="225">
        <f>IF(AA52=0,0,Z52/AA52)</f>
        <v>0</v>
      </c>
      <c r="AC52" s="1079"/>
      <c r="AD52" s="1079"/>
      <c r="AE52" s="1186"/>
      <c r="AF52" s="1080"/>
      <c r="AG52" s="1079"/>
      <c r="AH52" s="1088"/>
      <c r="AI52" s="1102"/>
      <c r="AJ52" s="1102"/>
      <c r="AK52" s="1102"/>
      <c r="AL52" s="1079"/>
      <c r="AM52" s="1080"/>
    </row>
    <row r="53" spans="1:39" ht="15.65" customHeight="1" x14ac:dyDescent="0.25">
      <c r="B53" s="1105"/>
      <c r="C53" s="1922"/>
      <c r="D53" s="1106"/>
      <c r="E53" s="1106"/>
      <c r="F53" s="1106"/>
      <c r="G53" s="1106"/>
      <c r="H53" s="1115"/>
      <c r="I53" s="1115"/>
      <c r="J53" s="1106"/>
      <c r="K53" s="1106"/>
      <c r="L53" s="1106"/>
      <c r="M53" s="1106"/>
      <c r="N53" s="1144" t="s">
        <v>120</v>
      </c>
      <c r="O53" s="1145">
        <f>SUM(O49:O52)</f>
        <v>0</v>
      </c>
      <c r="P53" s="1146" t="s">
        <v>90</v>
      </c>
      <c r="Q53" s="1107"/>
      <c r="Y53" s="1088"/>
      <c r="Z53" s="1079"/>
      <c r="AA53" s="1079"/>
      <c r="AB53" s="1079"/>
      <c r="AC53" s="1079"/>
      <c r="AD53" s="1079"/>
      <c r="AE53" s="1079"/>
      <c r="AF53" s="1080"/>
      <c r="AH53" s="1088"/>
      <c r="AI53" s="1079"/>
      <c r="AJ53" s="1079"/>
      <c r="AK53" s="1079"/>
      <c r="AL53" s="1079"/>
      <c r="AM53" s="1080"/>
    </row>
    <row r="54" spans="1:39" ht="15.65" customHeight="1" x14ac:dyDescent="0.25">
      <c r="A54" s="1164"/>
      <c r="B54" s="1108"/>
      <c r="C54" s="1108"/>
      <c r="D54" s="1108"/>
      <c r="E54" s="1108"/>
      <c r="F54" s="1108"/>
      <c r="G54" s="1108"/>
      <c r="H54" s="1102"/>
      <c r="I54" s="1102"/>
      <c r="J54" s="1108"/>
      <c r="K54" s="1108"/>
      <c r="L54" s="1108"/>
      <c r="M54" s="1108"/>
      <c r="N54" s="1164"/>
      <c r="O54" s="1164"/>
      <c r="P54" s="1102"/>
      <c r="Q54" s="1108"/>
      <c r="Y54" s="1088"/>
      <c r="Z54" s="1079"/>
      <c r="AA54" s="1079"/>
      <c r="AB54" s="1079"/>
      <c r="AC54" s="1079"/>
      <c r="AD54" s="1079"/>
      <c r="AE54" s="1079"/>
      <c r="AF54" s="1080"/>
      <c r="AH54" s="1088"/>
      <c r="AI54" s="1079"/>
      <c r="AJ54" s="1079"/>
      <c r="AK54" s="1079"/>
      <c r="AL54" s="1079"/>
      <c r="AM54" s="1080"/>
    </row>
    <row r="55" spans="1:39" ht="15.65" customHeight="1" x14ac:dyDescent="0.25">
      <c r="A55" s="1164"/>
      <c r="B55" s="1081"/>
      <c r="C55" s="1082"/>
      <c r="D55" s="1082"/>
      <c r="E55" s="1082"/>
      <c r="F55" s="1082"/>
      <c r="G55" s="1082"/>
      <c r="H55" s="1082"/>
      <c r="I55" s="1082"/>
      <c r="J55" s="1082"/>
      <c r="K55" s="1082"/>
      <c r="L55" s="1082"/>
      <c r="M55" s="1082"/>
      <c r="N55" s="1082"/>
      <c r="O55" s="1082"/>
      <c r="P55" s="1082"/>
      <c r="Q55" s="1083"/>
      <c r="Y55" s="1088"/>
      <c r="Z55" s="1079"/>
      <c r="AA55" s="1079"/>
      <c r="AB55" s="1079"/>
      <c r="AC55" s="1079"/>
      <c r="AD55" s="1079"/>
      <c r="AE55" s="1079"/>
      <c r="AF55" s="1080"/>
      <c r="AH55" s="1088"/>
      <c r="AI55" s="1079"/>
      <c r="AJ55" s="1079"/>
      <c r="AK55" s="1079"/>
      <c r="AL55" s="1079"/>
      <c r="AM55" s="1080"/>
    </row>
    <row r="56" spans="1:39" ht="15.65" customHeight="1" x14ac:dyDescent="0.25">
      <c r="A56" s="1164"/>
      <c r="B56" s="1084"/>
      <c r="C56" s="1109" t="s">
        <v>252</v>
      </c>
      <c r="D56" s="1086"/>
      <c r="E56" s="1086"/>
      <c r="F56" s="1086"/>
      <c r="G56" s="1086"/>
      <c r="H56" s="1086"/>
      <c r="I56" s="1086"/>
      <c r="J56" s="1086"/>
      <c r="K56" s="1086"/>
      <c r="L56" s="1086"/>
      <c r="M56" s="1086"/>
      <c r="N56" s="1086"/>
      <c r="O56" s="1086"/>
      <c r="P56" s="1086"/>
      <c r="Q56" s="1087"/>
      <c r="Y56" s="1191"/>
      <c r="Z56" s="1079"/>
      <c r="AA56" s="1079"/>
      <c r="AB56" s="1079"/>
      <c r="AC56" s="1079"/>
      <c r="AD56" s="1079"/>
      <c r="AE56" s="1079"/>
      <c r="AF56" s="1080"/>
      <c r="AH56" s="1088"/>
      <c r="AI56" s="1079"/>
      <c r="AJ56" s="1079"/>
      <c r="AK56" s="1079"/>
      <c r="AL56" s="1079"/>
      <c r="AM56" s="1080"/>
    </row>
    <row r="57" spans="1:39" ht="15.65" customHeight="1" x14ac:dyDescent="0.25">
      <c r="A57" s="1164"/>
      <c r="B57" s="1089"/>
      <c r="C57" s="1090"/>
      <c r="D57" s="1090"/>
      <c r="E57" s="1091" t="s">
        <v>253</v>
      </c>
      <c r="F57" s="1091" t="s">
        <v>81</v>
      </c>
      <c r="G57" s="1092"/>
      <c r="H57" s="1092"/>
      <c r="I57" s="1092"/>
      <c r="J57" s="1093"/>
      <c r="K57" s="1090"/>
      <c r="L57" s="1090"/>
      <c r="M57" s="1090"/>
      <c r="N57" s="1090"/>
      <c r="O57" s="1091" t="s">
        <v>82</v>
      </c>
      <c r="P57" s="1090"/>
      <c r="Q57" s="1094"/>
      <c r="Y57" s="1153" t="s">
        <v>254</v>
      </c>
      <c r="Z57" s="1153" t="s">
        <v>503</v>
      </c>
      <c r="AA57" s="1122" t="s">
        <v>256</v>
      </c>
      <c r="AB57" s="1079"/>
      <c r="AC57" s="1079"/>
      <c r="AD57" s="1079"/>
      <c r="AE57" s="1079"/>
      <c r="AF57" s="1080"/>
      <c r="AH57" s="1088"/>
      <c r="AI57" s="1079"/>
      <c r="AJ57" s="1079"/>
      <c r="AK57" s="1079"/>
      <c r="AL57" s="1079"/>
      <c r="AM57" s="1080"/>
    </row>
    <row r="58" spans="1:39" ht="15.65" customHeight="1" x14ac:dyDescent="0.25">
      <c r="B58" s="1192"/>
      <c r="C58" s="1193"/>
      <c r="D58" s="1193"/>
      <c r="E58" s="1193"/>
      <c r="F58" s="1193"/>
      <c r="G58" s="1193"/>
      <c r="H58" s="1124"/>
      <c r="I58" s="1124"/>
      <c r="J58" s="1193"/>
      <c r="K58" s="1193"/>
      <c r="L58" s="1193"/>
      <c r="M58" s="1193"/>
      <c r="N58" s="1194"/>
      <c r="O58" s="1194"/>
      <c r="P58" s="1194"/>
      <c r="Q58" s="1195"/>
      <c r="Y58" s="1156" t="s">
        <v>128</v>
      </c>
      <c r="Z58" s="1156"/>
      <c r="AA58" s="1122" t="s">
        <v>116</v>
      </c>
      <c r="AB58" s="1079"/>
      <c r="AC58" s="1079"/>
      <c r="AD58" s="1079"/>
      <c r="AE58" s="1079"/>
      <c r="AF58" s="1080"/>
      <c r="AH58" s="1088"/>
      <c r="AI58" s="1079"/>
      <c r="AJ58" s="1079"/>
      <c r="AK58" s="1079"/>
      <c r="AL58" s="1079"/>
      <c r="AM58" s="1080"/>
    </row>
    <row r="59" spans="1:39" ht="15.65" customHeight="1" x14ac:dyDescent="0.25">
      <c r="B59" s="1095"/>
      <c r="C59" s="1187" t="s">
        <v>579</v>
      </c>
      <c r="D59" s="1187"/>
      <c r="E59" s="549"/>
      <c r="F59" s="1067" t="s">
        <v>90</v>
      </c>
      <c r="G59" s="1532" t="str">
        <f>IF(IFERROR(OR('Electricity Usage'!$G$71&gt;1,E59*VLOOKUP(F59,massConv[],3,FALSE)&gt;overall_CHPSteamGenerated),FALSE),'Hidden Lists and Summaries'!$D$159,"")</f>
        <v/>
      </c>
      <c r="H59" s="1129"/>
      <c r="I59" s="1129"/>
      <c r="J59" s="1101"/>
      <c r="K59" s="1101"/>
      <c r="L59" s="1101"/>
      <c r="M59" s="1101"/>
      <c r="N59" s="1182" t="s">
        <v>257</v>
      </c>
      <c r="O59" s="1183" t="str">
        <f>IFERROR($Z$59*AA59,'Hidden Lists and Summaries'!$C$158)</f>
        <v>Error -  Review inputs</v>
      </c>
      <c r="P59" s="1184" t="s">
        <v>90</v>
      </c>
      <c r="Q59" s="1099"/>
      <c r="Y59" s="1147">
        <f>IFERROR(E59*VLOOKUP(F59,massConv[],3,FALSE),0)</f>
        <v>0</v>
      </c>
      <c r="Z59" s="1148" t="e">
        <f>IF(overall_CHPSteamGenerated=0,0,Y59/overall_CHPSteamGenerated)</f>
        <v>#N/A</v>
      </c>
      <c r="AA59" s="1149">
        <f>overall_embodiedCHPSteam</f>
        <v>0</v>
      </c>
      <c r="AB59" s="1196" t="s">
        <v>257</v>
      </c>
      <c r="AC59" s="1079"/>
      <c r="AD59"/>
      <c r="AE59" s="1079"/>
      <c r="AF59" s="1080"/>
      <c r="AH59" s="1088"/>
      <c r="AI59" s="1079" t="str">
        <f>O59</f>
        <v>Error -  Review inputs</v>
      </c>
      <c r="AJ59" s="1079"/>
      <c r="AK59" s="1079" t="str">
        <f>'Hidden Lists and Summaries'!$B$5</f>
        <v>Embodied (Upstream)</v>
      </c>
      <c r="AL59" s="1079"/>
      <c r="AM59" s="1080" t="s">
        <v>243</v>
      </c>
    </row>
    <row r="60" spans="1:39" ht="15.65" customHeight="1" x14ac:dyDescent="0.25">
      <c r="B60" s="1095"/>
      <c r="C60" s="1101"/>
      <c r="D60" s="1101"/>
      <c r="E60" s="1101"/>
      <c r="F60" s="1101"/>
      <c r="G60" s="1101"/>
      <c r="H60" s="1129"/>
      <c r="I60" s="1129"/>
      <c r="J60" s="1101"/>
      <c r="K60" s="1101"/>
      <c r="L60" s="1101"/>
      <c r="M60" s="1101"/>
      <c r="N60" s="1130" t="s">
        <v>259</v>
      </c>
      <c r="O60" s="1131" t="str">
        <f>IFERROR($Z$59*AA60,'Hidden Lists and Summaries'!$C$158)</f>
        <v>Error -  Review inputs</v>
      </c>
      <c r="P60" s="1132" t="s">
        <v>90</v>
      </c>
      <c r="Q60" s="1099"/>
      <c r="Y60" s="1197"/>
      <c r="Z60" s="1142"/>
      <c r="AA60" s="1143">
        <f>overall_CHP_EmissionsSteam</f>
        <v>0</v>
      </c>
      <c r="AB60" s="1196" t="s">
        <v>259</v>
      </c>
      <c r="AC60" s="1079"/>
      <c r="AD60"/>
      <c r="AE60" s="1079"/>
      <c r="AF60" s="1080"/>
      <c r="AH60" s="1088"/>
      <c r="AI60" s="1079" t="str">
        <f>O60</f>
        <v>Error -  Review inputs</v>
      </c>
      <c r="AJ60" s="1079"/>
      <c r="AK60" s="1102" t="s">
        <v>248</v>
      </c>
      <c r="AL60" s="1079"/>
      <c r="AM60" s="1080"/>
    </row>
    <row r="61" spans="1:39" ht="15.65" customHeight="1" x14ac:dyDescent="0.25">
      <c r="B61" s="1105"/>
      <c r="C61" s="1106"/>
      <c r="D61" s="1106"/>
      <c r="E61" s="1106"/>
      <c r="F61" s="1106"/>
      <c r="G61" s="1106"/>
      <c r="H61" s="1115"/>
      <c r="I61" s="1115"/>
      <c r="J61" s="1106"/>
      <c r="K61" s="1106"/>
      <c r="L61" s="1106"/>
      <c r="M61" s="1106"/>
      <c r="N61" s="1144" t="s">
        <v>120</v>
      </c>
      <c r="O61" s="1145">
        <f>SUM(O59:O60)</f>
        <v>0</v>
      </c>
      <c r="P61" s="1146" t="s">
        <v>90</v>
      </c>
      <c r="Q61" s="1107"/>
      <c r="Y61" s="1088"/>
      <c r="Z61" s="1079"/>
      <c r="AA61" s="1079"/>
      <c r="AB61" s="1079"/>
      <c r="AC61" s="1079"/>
      <c r="AD61" s="1079"/>
      <c r="AE61" s="1079"/>
      <c r="AF61" s="1080"/>
      <c r="AH61" s="1088"/>
      <c r="AI61" s="1079"/>
      <c r="AJ61" s="1079"/>
      <c r="AK61" s="1079"/>
      <c r="AL61" s="1079"/>
      <c r="AM61" s="1080"/>
    </row>
    <row r="62" spans="1:39" ht="15.65" customHeight="1" x14ac:dyDescent="0.25">
      <c r="B62" s="1118"/>
      <c r="C62" s="1118"/>
      <c r="D62" s="1118"/>
      <c r="E62" s="1118"/>
      <c r="F62" s="1118"/>
      <c r="G62" s="1118"/>
      <c r="H62" s="1118"/>
      <c r="I62" s="1118"/>
      <c r="J62" s="1118"/>
      <c r="K62" s="1118"/>
      <c r="L62" s="1118"/>
      <c r="M62" s="1118"/>
      <c r="N62" s="1465"/>
      <c r="O62" s="1465"/>
      <c r="P62" s="1118"/>
      <c r="Q62" s="1118"/>
      <c r="Y62" s="1088"/>
      <c r="Z62"/>
      <c r="AA62"/>
      <c r="AB62"/>
      <c r="AC62" s="1079"/>
      <c r="AD62" s="1079"/>
      <c r="AE62" s="1079"/>
      <c r="AF62" s="1080"/>
      <c r="AH62" s="1088"/>
      <c r="AI62" s="1079"/>
      <c r="AJ62" s="1079"/>
      <c r="AK62" s="1079"/>
      <c r="AL62" s="1079"/>
      <c r="AM62" s="1080"/>
    </row>
    <row r="63" spans="1:39" ht="15.65" customHeight="1" x14ac:dyDescent="0.25">
      <c r="B63" s="1081"/>
      <c r="C63" s="1082"/>
      <c r="D63" s="1082"/>
      <c r="E63" s="1082"/>
      <c r="F63" s="1082"/>
      <c r="G63" s="1150" t="s">
        <v>504</v>
      </c>
      <c r="H63" s="1082"/>
      <c r="I63" s="1082"/>
      <c r="J63" s="1082"/>
      <c r="K63" s="1082"/>
      <c r="L63" s="1082"/>
      <c r="M63" s="1082"/>
      <c r="N63" s="1082"/>
      <c r="O63" s="1082"/>
      <c r="P63" s="1082"/>
      <c r="Q63" s="1083"/>
      <c r="Y63" s="1088"/>
      <c r="Z63" s="1079"/>
      <c r="AA63" s="1079"/>
      <c r="AB63" s="1079"/>
      <c r="AC63" s="1079"/>
      <c r="AD63" s="1079"/>
      <c r="AE63" s="1079"/>
      <c r="AF63" s="1080"/>
      <c r="AG63" s="1080"/>
      <c r="AH63" s="1088"/>
      <c r="AI63" s="1079"/>
      <c r="AJ63" s="1079"/>
      <c r="AK63" s="1079"/>
      <c r="AL63" s="1079"/>
      <c r="AM63" s="1080"/>
    </row>
    <row r="64" spans="1:39" ht="15.65" customHeight="1" x14ac:dyDescent="0.25">
      <c r="B64" s="1084"/>
      <c r="C64" s="1198" t="s">
        <v>261</v>
      </c>
      <c r="D64" s="1151"/>
      <c r="E64" s="1152"/>
      <c r="F64" s="1151"/>
      <c r="G64" s="1151"/>
      <c r="H64" s="1902" t="s">
        <v>795</v>
      </c>
      <c r="I64" s="1151"/>
      <c r="J64" s="1151"/>
      <c r="K64" s="1151"/>
      <c r="L64" s="1151"/>
      <c r="M64" s="1151"/>
      <c r="N64" s="1151"/>
      <c r="O64" s="1151"/>
      <c r="P64" s="1151"/>
      <c r="Q64" s="1087"/>
      <c r="Y64" s="1088"/>
      <c r="Z64" s="1079"/>
      <c r="AA64" s="1079"/>
      <c r="AB64" s="1079"/>
      <c r="AC64" s="1079"/>
      <c r="AD64" s="1079"/>
      <c r="AE64" s="1079"/>
      <c r="AF64" s="1080"/>
      <c r="AH64" s="1088"/>
      <c r="AI64" s="1079"/>
      <c r="AJ64" s="1079"/>
      <c r="AK64" s="1079"/>
      <c r="AL64" s="1079"/>
      <c r="AM64" s="1080"/>
    </row>
    <row r="65" spans="2:39" ht="15.65" customHeight="1" x14ac:dyDescent="0.25">
      <c r="B65" s="1089"/>
      <c r="C65" s="1090"/>
      <c r="D65" s="1090"/>
      <c r="E65" s="1200" t="s">
        <v>198</v>
      </c>
      <c r="F65" s="1091" t="s">
        <v>253</v>
      </c>
      <c r="G65" s="1091" t="s">
        <v>184</v>
      </c>
      <c r="H65" s="1896"/>
      <c r="I65" s="1111" t="s">
        <v>262</v>
      </c>
      <c r="J65" s="1111" t="s">
        <v>263</v>
      </c>
      <c r="K65" s="1090"/>
      <c r="L65" s="1090"/>
      <c r="M65" s="1090"/>
      <c r="N65" s="1090"/>
      <c r="O65" s="1091" t="s">
        <v>82</v>
      </c>
      <c r="P65" s="1090"/>
      <c r="Q65" s="1094"/>
      <c r="Y65" s="1121" t="s">
        <v>122</v>
      </c>
      <c r="Z65" s="1122" t="s">
        <v>264</v>
      </c>
      <c r="AA65" s="1122" t="s">
        <v>265</v>
      </c>
      <c r="AB65" s="1121" t="s">
        <v>266</v>
      </c>
      <c r="AC65" s="1122" t="s">
        <v>123</v>
      </c>
      <c r="AD65" s="1121" t="s">
        <v>77</v>
      </c>
      <c r="AE65" s="1122" t="s">
        <v>267</v>
      </c>
      <c r="AF65" s="1123" t="s">
        <v>268</v>
      </c>
      <c r="AG65" s="1080"/>
      <c r="AH65" s="1088"/>
      <c r="AI65" s="1079"/>
      <c r="AJ65" s="1079"/>
      <c r="AK65" s="1079"/>
      <c r="AL65" s="1079"/>
      <c r="AM65" s="1080"/>
    </row>
    <row r="66" spans="2:39" ht="15.65" customHeight="1" x14ac:dyDescent="0.25">
      <c r="B66" s="1095"/>
      <c r="C66" s="1096"/>
      <c r="D66" s="1096"/>
      <c r="E66" s="1173"/>
      <c r="F66" s="1096"/>
      <c r="G66" s="1096"/>
      <c r="H66" s="1096"/>
      <c r="I66" s="1098"/>
      <c r="J66" s="1098"/>
      <c r="K66" s="1096"/>
      <c r="L66" s="1096"/>
      <c r="M66" s="1096"/>
      <c r="N66" s="1125"/>
      <c r="O66" s="1322" t="s">
        <v>269</v>
      </c>
      <c r="P66" s="1155"/>
      <c r="Q66" s="1099"/>
      <c r="Y66" s="1121" t="s">
        <v>128</v>
      </c>
      <c r="Z66" s="1122" t="s">
        <v>270</v>
      </c>
      <c r="AA66" s="1122" t="s">
        <v>270</v>
      </c>
      <c r="AB66" s="1121" t="s">
        <v>271</v>
      </c>
      <c r="AC66" s="1121" t="s">
        <v>272</v>
      </c>
      <c r="AD66" s="1121" t="s">
        <v>273</v>
      </c>
      <c r="AE66" s="1122" t="s">
        <v>270</v>
      </c>
      <c r="AF66" s="1123" t="s">
        <v>270</v>
      </c>
      <c r="AH66" s="1088"/>
      <c r="AI66" s="1079"/>
      <c r="AJ66" s="1079"/>
      <c r="AK66" s="1079"/>
      <c r="AL66" s="1079"/>
      <c r="AM66" s="1080"/>
    </row>
    <row r="67" spans="2:39" ht="15.65" customHeight="1" x14ac:dyDescent="0.25">
      <c r="B67" s="1095"/>
      <c r="C67" s="1113" t="s">
        <v>274</v>
      </c>
      <c r="D67" s="1202"/>
      <c r="E67" s="751"/>
      <c r="F67" s="800"/>
      <c r="G67" s="800"/>
      <c r="H67" s="954"/>
      <c r="I67" s="955"/>
      <c r="J67" s="956"/>
      <c r="K67" s="1096"/>
      <c r="L67" s="1096"/>
      <c r="M67" s="1096"/>
      <c r="N67" s="1130"/>
      <c r="O67" s="1131">
        <f>IF(AND(F67="",G67="",H67="",I67="",J67=""),0,IFERROR(AD67*Y67,'Hidden Lists and Summaries'!$C$158))</f>
        <v>0</v>
      </c>
      <c r="P67" s="1132" t="s">
        <v>90</v>
      </c>
      <c r="Q67" s="1099"/>
      <c r="Y67" s="1147" t="e">
        <f>F67*VLOOKUP(G67,massConv[#All],3,FALSE)</f>
        <v>#N/A</v>
      </c>
      <c r="Z67" s="1148" t="e">
        <f>VLOOKUP(I67,BoilerFuelReferenceTable[#All],2,FALSE)</f>
        <v>#N/A</v>
      </c>
      <c r="AA67" s="1148" t="e">
        <f>IF(I67='Key Values'!$B$209,AE67,AF67)</f>
        <v>#N/A</v>
      </c>
      <c r="AB67" s="1079" t="e">
        <f>Z67+AA67</f>
        <v>#N/A</v>
      </c>
      <c r="AC67" s="1148" t="e">
        <f>VLOOKUP(J67,SteamProperties[#All],6,FALSE)</f>
        <v>#N/A</v>
      </c>
      <c r="AD67" s="1203" t="e">
        <f>IF(H67="",AB67*AC67,H67)</f>
        <v>#N/A</v>
      </c>
      <c r="AE67" s="1148">
        <f>IFERROR(VLOOKUP(iq_location,GaseousFuelEmbodiedEmissions[#All],IF(iq_metro,2,3),FALSE),0)</f>
        <v>0</v>
      </c>
      <c r="AF67" s="1149" t="e">
        <f>VLOOKUP(I67,BoilerFuelReferenceTable[#All],3,FALSE)</f>
        <v>#N/A</v>
      </c>
      <c r="AH67" s="1088"/>
      <c r="AI67" s="1079"/>
      <c r="AJ67" s="1079"/>
      <c r="AK67" s="1079"/>
      <c r="AL67" s="1079"/>
      <c r="AM67" s="1080"/>
    </row>
    <row r="68" spans="2:39" ht="15.65" customHeight="1" x14ac:dyDescent="0.25">
      <c r="B68" s="1095"/>
      <c r="C68" s="1113" t="s">
        <v>275</v>
      </c>
      <c r="D68" s="1202"/>
      <c r="E68" s="752"/>
      <c r="F68" s="801"/>
      <c r="G68" s="802"/>
      <c r="H68" s="957"/>
      <c r="I68" s="958"/>
      <c r="J68" s="959"/>
      <c r="K68" s="1096"/>
      <c r="L68" s="1096"/>
      <c r="M68" s="1096"/>
      <c r="N68" s="1130"/>
      <c r="O68" s="1131">
        <f>IF(AND(F68="",G68="",H68="",I68="",J68=""),0,IFERROR(AD68*Y68,'Hidden Lists and Summaries'!$C$158))</f>
        <v>0</v>
      </c>
      <c r="P68" s="1132" t="s">
        <v>90</v>
      </c>
      <c r="Q68" s="1099"/>
      <c r="Y68" s="1088" t="e">
        <f>F68*VLOOKUP(G68,massConv[#All],3,FALSE)</f>
        <v>#N/A</v>
      </c>
      <c r="Z68" s="1079" t="e">
        <f>VLOOKUP(I68,BoilerFuelReferenceTable[#All],2,FALSE)</f>
        <v>#N/A</v>
      </c>
      <c r="AA68" s="1079" t="e">
        <f>IF(I68='Key Values'!$B$209,AE68,AF68)</f>
        <v>#N/A</v>
      </c>
      <c r="AB68" s="1079" t="e">
        <f>Z68+AA68</f>
        <v>#N/A</v>
      </c>
      <c r="AC68" s="1079" t="e">
        <f>VLOOKUP(J68,SteamProperties[#All],6,FALSE)</f>
        <v>#N/A</v>
      </c>
      <c r="AD68" s="1204" t="e">
        <f t="shared" ref="AD68:AD69" si="0">IF(H68="",AB68*AC68,H68)</f>
        <v>#N/A</v>
      </c>
      <c r="AE68" s="1079">
        <f>IFERROR(VLOOKUP(iq_location,GaseousFuelEmbodiedEmissions[#All],IF(iq_metro,2,3),FALSE),0)</f>
        <v>0</v>
      </c>
      <c r="AF68" s="1080" t="e">
        <f>VLOOKUP(I68,BoilerFuelReferenceTable[#All],3,FALSE)</f>
        <v>#N/A</v>
      </c>
      <c r="AH68" s="1088"/>
      <c r="AI68" s="1079"/>
      <c r="AJ68" s="1079"/>
      <c r="AK68" s="1079"/>
      <c r="AL68" s="1079"/>
      <c r="AM68" s="1080"/>
    </row>
    <row r="69" spans="2:39" ht="15.65" customHeight="1" x14ac:dyDescent="0.25">
      <c r="B69" s="1095"/>
      <c r="C69" s="1113" t="s">
        <v>276</v>
      </c>
      <c r="D69" s="1202"/>
      <c r="E69" s="780"/>
      <c r="F69" s="803"/>
      <c r="G69" s="804"/>
      <c r="H69" s="960"/>
      <c r="I69" s="961"/>
      <c r="J69" s="962"/>
      <c r="K69" s="1096"/>
      <c r="L69" s="1096"/>
      <c r="M69" s="1096"/>
      <c r="N69" s="1130"/>
      <c r="O69" s="1131">
        <f>IF(AND(F69="",G69="",H69="",I69="",J69=""),0,IFERROR(AD69*Y69,'Hidden Lists and Summaries'!$C$158))</f>
        <v>0</v>
      </c>
      <c r="P69" s="1132" t="s">
        <v>90</v>
      </c>
      <c r="Q69" s="1099"/>
      <c r="Y69" s="1197" t="e">
        <f>F69*VLOOKUP(G69,massConv[#All],3,FALSE)</f>
        <v>#N/A</v>
      </c>
      <c r="Z69" s="1142" t="e">
        <f>VLOOKUP(I69,BoilerFuelReferenceTable[#All],2,FALSE)</f>
        <v>#N/A</v>
      </c>
      <c r="AA69" s="1142" t="e">
        <f>IF(I69='Key Values'!$B$209,AE69,AF69)</f>
        <v>#N/A</v>
      </c>
      <c r="AB69" s="1142" t="e">
        <f>Z69+AA69</f>
        <v>#N/A</v>
      </c>
      <c r="AC69" s="1142" t="e">
        <f>VLOOKUP(J69,SteamProperties[#All],6,FALSE)</f>
        <v>#N/A</v>
      </c>
      <c r="AD69" s="1205" t="e">
        <f t="shared" si="0"/>
        <v>#N/A</v>
      </c>
      <c r="AE69" s="1142">
        <f>IFERROR(VLOOKUP(iq_location,GaseousFuelEmbodiedEmissions[#All],IF(iq_metro,2,3),FALSE),0)</f>
        <v>0</v>
      </c>
      <c r="AF69" s="1143" t="e">
        <f>VLOOKUP(I69,BoilerFuelReferenceTable[#All],3,FALSE)</f>
        <v>#N/A</v>
      </c>
      <c r="AH69" s="1088"/>
      <c r="AI69" s="1079"/>
      <c r="AJ69" s="1079"/>
      <c r="AK69" s="1079"/>
      <c r="AL69" s="1079"/>
      <c r="AM69" s="1080"/>
    </row>
    <row r="70" spans="2:39" ht="15.65" customHeight="1" x14ac:dyDescent="0.25">
      <c r="B70" s="1105"/>
      <c r="C70" s="1106"/>
      <c r="D70" s="1106"/>
      <c r="E70" s="1206"/>
      <c r="F70" s="1106"/>
      <c r="G70" s="1106"/>
      <c r="H70" s="1115"/>
      <c r="I70" s="1115"/>
      <c r="J70" s="1106"/>
      <c r="K70" s="1106"/>
      <c r="L70" s="1106"/>
      <c r="M70" s="1106"/>
      <c r="N70" s="1144" t="s">
        <v>120</v>
      </c>
      <c r="O70" s="1145">
        <f>SUM(O67:O69)</f>
        <v>0</v>
      </c>
      <c r="P70" s="1146" t="s">
        <v>90</v>
      </c>
      <c r="Q70" s="1107"/>
      <c r="Y70" s="1088"/>
      <c r="Z70" s="1079"/>
      <c r="AA70" s="1079"/>
      <c r="AB70" s="1079"/>
      <c r="AC70" s="1079"/>
      <c r="AD70" s="1079"/>
      <c r="AE70" s="1148"/>
      <c r="AF70" s="1080"/>
      <c r="AH70" s="1088"/>
      <c r="AI70" s="1079">
        <f>O70</f>
        <v>0</v>
      </c>
      <c r="AJ70" s="1079"/>
      <c r="AK70" s="1079" t="str">
        <f>'Hidden Lists and Summaries'!$B$6</f>
        <v>Steam Supply</v>
      </c>
      <c r="AL70" s="1079"/>
      <c r="AM70" s="1080"/>
    </row>
    <row r="71" spans="2:39" ht="15.65" customHeight="1" x14ac:dyDescent="0.25">
      <c r="B71" s="1118"/>
      <c r="C71" s="1118"/>
      <c r="D71" s="1118"/>
      <c r="E71" s="1118"/>
      <c r="F71" s="1118"/>
      <c r="G71" s="1118"/>
      <c r="H71" s="1118"/>
      <c r="I71" s="1118"/>
      <c r="J71" s="1118"/>
      <c r="K71" s="1118"/>
      <c r="L71" s="1118"/>
      <c r="M71" s="1118"/>
      <c r="N71" s="1118"/>
      <c r="O71" s="1118"/>
      <c r="P71" s="1118"/>
      <c r="Q71" s="1118"/>
      <c r="S71" s="101"/>
      <c r="Y71" s="1088"/>
      <c r="Z71" s="1079"/>
      <c r="AA71" s="1079"/>
      <c r="AB71" s="1079"/>
      <c r="AC71" s="1079"/>
      <c r="AD71" s="1079"/>
      <c r="AE71" s="1079"/>
      <c r="AF71" s="1080"/>
      <c r="AH71" s="1088"/>
      <c r="AI71" s="1079"/>
      <c r="AJ71" s="1079"/>
      <c r="AK71" s="1079"/>
      <c r="AL71" s="1079"/>
      <c r="AM71" s="1080"/>
    </row>
    <row r="72" spans="2:39" ht="15.65" customHeight="1" x14ac:dyDescent="0.25">
      <c r="B72" s="1207"/>
      <c r="C72" s="1208"/>
      <c r="D72" s="1208"/>
      <c r="E72" s="1208"/>
      <c r="F72" s="1208"/>
      <c r="G72" s="1208"/>
      <c r="H72" s="1208"/>
      <c r="I72" s="1208"/>
      <c r="J72" s="1208"/>
      <c r="K72" s="1208"/>
      <c r="L72" s="1208"/>
      <c r="M72" s="1208"/>
      <c r="N72" s="1208"/>
      <c r="O72" s="1208"/>
      <c r="P72" s="1208"/>
      <c r="Q72" s="1209"/>
      <c r="S72" s="101"/>
      <c r="Y72" s="1088"/>
      <c r="Z72" s="1079"/>
      <c r="AA72" s="1079"/>
      <c r="AB72" s="1079"/>
      <c r="AC72" s="1079"/>
      <c r="AD72" s="1079"/>
      <c r="AE72" s="1079"/>
      <c r="AF72" s="1080"/>
      <c r="AH72" s="1088"/>
      <c r="AI72" s="1079"/>
      <c r="AJ72" s="1079"/>
      <c r="AK72" s="1079"/>
      <c r="AL72" s="1079"/>
      <c r="AM72" s="1080"/>
    </row>
    <row r="73" spans="2:39" ht="15.65" customHeight="1" x14ac:dyDescent="0.25">
      <c r="B73" s="1210"/>
      <c r="C73" s="1211" t="s">
        <v>277</v>
      </c>
      <c r="D73" s="1212"/>
      <c r="E73" s="1212"/>
      <c r="F73" s="1212"/>
      <c r="G73" s="1212"/>
      <c r="H73" s="1915" t="s">
        <v>796</v>
      </c>
      <c r="I73" s="1212"/>
      <c r="J73" s="1212"/>
      <c r="K73" s="1212"/>
      <c r="L73" s="1212"/>
      <c r="M73" s="1212"/>
      <c r="N73" s="1212"/>
      <c r="O73" s="1212"/>
      <c r="P73" s="1212"/>
      <c r="Q73" s="1213"/>
      <c r="S73" s="101"/>
      <c r="Y73" s="1088"/>
      <c r="Z73" s="1079"/>
      <c r="AA73" s="1079"/>
      <c r="AB73" s="1079"/>
      <c r="AC73" s="1079"/>
      <c r="AD73" s="1079"/>
      <c r="AE73" s="1079"/>
      <c r="AF73" s="1080"/>
      <c r="AH73" s="1088"/>
      <c r="AI73" s="1079"/>
      <c r="AJ73" s="1079"/>
      <c r="AK73" s="1079"/>
      <c r="AL73" s="1079"/>
      <c r="AM73" s="1080"/>
    </row>
    <row r="74" spans="2:39" ht="15.65" customHeight="1" x14ac:dyDescent="0.25">
      <c r="B74" s="1214"/>
      <c r="C74" s="1215"/>
      <c r="D74" s="1215"/>
      <c r="E74" s="1111" t="s">
        <v>278</v>
      </c>
      <c r="F74" s="1111" t="s">
        <v>279</v>
      </c>
      <c r="G74" s="1091" t="s">
        <v>184</v>
      </c>
      <c r="H74" s="1916"/>
      <c r="I74" s="1215"/>
      <c r="J74" s="1215"/>
      <c r="K74" s="1215"/>
      <c r="L74" s="1215"/>
      <c r="M74" s="1215"/>
      <c r="N74" s="1215"/>
      <c r="O74" s="1091" t="s">
        <v>82</v>
      </c>
      <c r="P74" s="1215"/>
      <c r="Q74" s="1216"/>
      <c r="S74" s="101"/>
      <c r="Y74" s="1466" t="s">
        <v>77</v>
      </c>
      <c r="Z74" s="1467" t="s">
        <v>94</v>
      </c>
      <c r="AA74" s="1079"/>
      <c r="AB74" s="1079"/>
      <c r="AC74" s="1079"/>
      <c r="AD74" s="1079"/>
      <c r="AE74" s="1079"/>
      <c r="AF74" s="1080"/>
      <c r="AH74" s="1088"/>
      <c r="AI74" s="1079"/>
      <c r="AJ74" s="1079"/>
      <c r="AK74" s="1079"/>
      <c r="AL74" s="1079"/>
      <c r="AM74" s="1080"/>
    </row>
    <row r="75" spans="2:39" ht="15.65" customHeight="1" x14ac:dyDescent="0.25">
      <c r="B75" s="1217"/>
      <c r="C75" s="1218"/>
      <c r="D75" s="1218"/>
      <c r="E75" s="1218"/>
      <c r="F75" s="1218"/>
      <c r="G75" s="1218"/>
      <c r="H75" s="1218"/>
      <c r="I75" s="1218"/>
      <c r="J75" s="1218"/>
      <c r="K75" s="1218"/>
      <c r="L75" s="1218"/>
      <c r="M75" s="1218"/>
      <c r="N75" s="1218"/>
      <c r="O75" s="1218"/>
      <c r="P75" s="1218"/>
      <c r="Q75" s="1219"/>
      <c r="S75" s="101"/>
      <c r="Y75" s="1121" t="s">
        <v>280</v>
      </c>
      <c r="Z75" s="1123" t="s">
        <v>281</v>
      </c>
      <c r="AA75" s="1079"/>
      <c r="AB75" s="1079"/>
      <c r="AC75" s="1079"/>
      <c r="AD75" s="1079"/>
      <c r="AE75" s="1079"/>
      <c r="AF75" s="1080"/>
      <c r="AH75" s="1088"/>
      <c r="AI75" s="1079"/>
      <c r="AJ75" s="1079"/>
      <c r="AK75" s="1079"/>
      <c r="AL75" s="1079"/>
      <c r="AM75" s="1080"/>
    </row>
    <row r="76" spans="2:39" ht="15.65" customHeight="1" x14ac:dyDescent="0.25">
      <c r="B76" s="1158"/>
      <c r="C76" s="1220" t="s">
        <v>282</v>
      </c>
      <c r="D76" s="1220"/>
      <c r="E76" s="361"/>
      <c r="F76" s="362"/>
      <c r="G76" s="363"/>
      <c r="H76" s="364"/>
      <c r="I76" s="1220"/>
      <c r="J76" s="1220"/>
      <c r="K76" s="1220"/>
      <c r="L76" s="1220"/>
      <c r="M76" s="1220"/>
      <c r="N76" s="1182"/>
      <c r="O76" s="1183">
        <f>IF(AND(F76="",G76="",H76=""),0,IFERROR(Y76*Z76,'Hidden Lists and Summaries'!$C$158))</f>
        <v>0</v>
      </c>
      <c r="P76" s="1184" t="s">
        <v>90</v>
      </c>
      <c r="Q76" s="1221"/>
      <c r="S76" s="101"/>
      <c r="Y76" s="1088">
        <f>H76</f>
        <v>0</v>
      </c>
      <c r="Z76" s="1080">
        <f>F76</f>
        <v>0</v>
      </c>
      <c r="AA76" s="1079"/>
      <c r="AB76" s="1079"/>
      <c r="AC76" s="1079"/>
      <c r="AD76" s="1079"/>
      <c r="AE76" s="1079"/>
      <c r="AF76" s="1080"/>
      <c r="AH76" s="1088"/>
      <c r="AI76" s="1079"/>
      <c r="AJ76" s="1079"/>
      <c r="AK76" s="1079"/>
      <c r="AL76" s="1079"/>
      <c r="AM76" s="1080"/>
    </row>
    <row r="77" spans="2:39" ht="15.65" customHeight="1" x14ac:dyDescent="0.25">
      <c r="B77" s="1158"/>
      <c r="C77" s="1220" t="s">
        <v>283</v>
      </c>
      <c r="D77" s="1220"/>
      <c r="E77" s="365"/>
      <c r="F77" s="366"/>
      <c r="G77" s="366"/>
      <c r="H77" s="367"/>
      <c r="I77" s="1220"/>
      <c r="J77" s="1220"/>
      <c r="K77" s="1220"/>
      <c r="L77" s="1220"/>
      <c r="M77" s="1220"/>
      <c r="N77" s="1130"/>
      <c r="O77" s="1131">
        <f>IF(AND(F77="",G77="",H77=""),0,IFERROR(Y77*Z77,'Hidden Lists and Summaries'!$C$158))</f>
        <v>0</v>
      </c>
      <c r="P77" s="1132" t="s">
        <v>90</v>
      </c>
      <c r="Q77" s="1221"/>
      <c r="S77" s="101"/>
      <c r="Y77" s="1088">
        <f>H77</f>
        <v>0</v>
      </c>
      <c r="Z77" s="1080">
        <f>F77</f>
        <v>0</v>
      </c>
      <c r="AA77" s="1079"/>
      <c r="AB77" s="1079"/>
      <c r="AC77" s="1079"/>
      <c r="AD77" s="1079"/>
      <c r="AE77" s="1079"/>
      <c r="AF77" s="1080"/>
      <c r="AH77" s="1088"/>
      <c r="AI77" s="1079"/>
      <c r="AJ77" s="1079"/>
      <c r="AK77" s="1079"/>
      <c r="AL77" s="1079"/>
      <c r="AM77" s="1080"/>
    </row>
    <row r="78" spans="2:39" ht="15.65" customHeight="1" x14ac:dyDescent="0.25">
      <c r="B78" s="1158"/>
      <c r="C78" s="1220" t="s">
        <v>284</v>
      </c>
      <c r="D78" s="1220"/>
      <c r="E78" s="368"/>
      <c r="F78" s="366"/>
      <c r="G78" s="366"/>
      <c r="H78" s="369"/>
      <c r="I78" s="1220"/>
      <c r="J78" s="1220"/>
      <c r="K78" s="1220"/>
      <c r="L78" s="1220"/>
      <c r="M78" s="1220"/>
      <c r="N78" s="1130"/>
      <c r="O78" s="1131">
        <f>IF(AND(F78="",G78="",H78=""),0,IFERROR(Y78*Z78,'Hidden Lists and Summaries'!$C$158))</f>
        <v>0</v>
      </c>
      <c r="P78" s="1132" t="s">
        <v>90</v>
      </c>
      <c r="Q78" s="1221"/>
      <c r="S78" s="101"/>
      <c r="Y78" s="1088">
        <f>H78</f>
        <v>0</v>
      </c>
      <c r="Z78" s="1080">
        <f>F78</f>
        <v>0</v>
      </c>
      <c r="AA78" s="1079"/>
      <c r="AB78" s="1079"/>
      <c r="AC78" s="1079"/>
      <c r="AD78" s="1079"/>
      <c r="AE78" s="1079"/>
      <c r="AF78" s="1080"/>
      <c r="AH78" s="1088"/>
      <c r="AI78" s="1079"/>
      <c r="AJ78" s="1079"/>
      <c r="AK78" s="1079"/>
      <c r="AL78" s="1079"/>
      <c r="AM78" s="1080"/>
    </row>
    <row r="79" spans="2:39" ht="15.65" customHeight="1" x14ac:dyDescent="0.25">
      <c r="B79" s="1158"/>
      <c r="C79" s="1220" t="s">
        <v>285</v>
      </c>
      <c r="D79" s="1220"/>
      <c r="E79" s="370"/>
      <c r="F79" s="371"/>
      <c r="G79" s="371"/>
      <c r="H79" s="372"/>
      <c r="I79" s="1220"/>
      <c r="J79" s="1220"/>
      <c r="K79" s="1220"/>
      <c r="L79" s="1220"/>
      <c r="M79" s="1220"/>
      <c r="N79" s="1222"/>
      <c r="O79" s="1131">
        <f>IF(AND(F79="",G79="",H79=""),0,IFERROR(Y79*Z79,'Hidden Lists and Summaries'!$C$158))</f>
        <v>0</v>
      </c>
      <c r="P79" s="1132" t="s">
        <v>90</v>
      </c>
      <c r="Q79" s="1221"/>
      <c r="S79" s="101"/>
      <c r="Y79" s="1197">
        <f>H79</f>
        <v>0</v>
      </c>
      <c r="Z79" s="1143">
        <f>F79</f>
        <v>0</v>
      </c>
      <c r="AA79" s="1079"/>
      <c r="AB79" s="1079"/>
      <c r="AC79" s="1079"/>
      <c r="AD79" s="1079"/>
      <c r="AE79" s="1079"/>
      <c r="AF79" s="1080"/>
      <c r="AH79" s="1088"/>
      <c r="AI79" s="1079"/>
      <c r="AJ79" s="1079"/>
      <c r="AK79" s="1079"/>
      <c r="AL79" s="1079"/>
      <c r="AM79" s="1080"/>
    </row>
    <row r="80" spans="2:39" ht="15.65" customHeight="1" x14ac:dyDescent="0.25">
      <c r="B80" s="1223"/>
      <c r="C80" s="1161"/>
      <c r="D80" s="1161"/>
      <c r="E80" s="1161"/>
      <c r="F80" s="1161"/>
      <c r="G80" s="1161"/>
      <c r="H80" s="1161"/>
      <c r="I80" s="1161"/>
      <c r="J80" s="1161"/>
      <c r="K80" s="1161"/>
      <c r="L80" s="1161"/>
      <c r="M80" s="1161"/>
      <c r="N80" s="1224" t="s">
        <v>120</v>
      </c>
      <c r="O80" s="1225">
        <f>SUM(O76:O79)</f>
        <v>0</v>
      </c>
      <c r="P80" s="1226" t="s">
        <v>90</v>
      </c>
      <c r="Q80" s="1227"/>
      <c r="S80" s="101"/>
      <c r="Y80" s="1088"/>
      <c r="Z80" s="1079"/>
      <c r="AA80" s="1079"/>
      <c r="AB80" s="1079"/>
      <c r="AC80" s="1079"/>
      <c r="AD80" s="1079"/>
      <c r="AE80" s="1079"/>
      <c r="AF80" s="1080"/>
      <c r="AH80" s="1088"/>
      <c r="AI80" s="1079">
        <f>O80</f>
        <v>0</v>
      </c>
      <c r="AJ80" s="1079"/>
      <c r="AK80" s="1079" t="str">
        <f>'Hidden Lists and Summaries'!$B$5</f>
        <v>Embodied (Upstream)</v>
      </c>
      <c r="AL80" s="1079"/>
      <c r="AM80" s="1080" t="s">
        <v>243</v>
      </c>
    </row>
    <row r="81" spans="2:39" ht="15.65" customHeight="1" x14ac:dyDescent="0.25">
      <c r="B81" s="1118"/>
      <c r="C81" s="1118"/>
      <c r="D81" s="1118"/>
      <c r="E81" s="1118"/>
      <c r="F81" s="1118"/>
      <c r="G81" s="1118"/>
      <c r="H81" s="1118"/>
      <c r="I81" s="1118"/>
      <c r="J81" s="1118"/>
      <c r="K81" s="1118"/>
      <c r="L81" s="1118"/>
      <c r="M81" s="1118"/>
      <c r="N81" s="1118"/>
      <c r="O81" s="1118"/>
      <c r="P81" s="1118"/>
      <c r="Q81" s="1118"/>
      <c r="S81" s="101"/>
      <c r="Y81" s="1088"/>
      <c r="Z81" s="1079"/>
      <c r="AA81" s="1079"/>
      <c r="AB81" s="1079"/>
      <c r="AC81" s="1079"/>
      <c r="AD81" s="1079"/>
      <c r="AE81" s="1079"/>
      <c r="AF81" s="1080"/>
      <c r="AH81" s="1088"/>
      <c r="AI81" s="1079"/>
      <c r="AJ81" s="1079"/>
      <c r="AK81" s="1079"/>
      <c r="AL81" s="1079"/>
      <c r="AM81" s="1080"/>
    </row>
    <row r="82" spans="2:39" ht="15.65" customHeight="1" x14ac:dyDescent="0.25">
      <c r="B82" s="1081"/>
      <c r="C82" s="1082"/>
      <c r="D82" s="1082"/>
      <c r="E82" s="1082"/>
      <c r="F82" s="1082"/>
      <c r="G82" s="1082"/>
      <c r="H82" s="1907" t="s">
        <v>287</v>
      </c>
      <c r="I82" s="1907"/>
      <c r="J82" s="1907"/>
      <c r="K82" s="1082"/>
      <c r="L82" s="1082"/>
      <c r="M82" s="1082"/>
      <c r="N82" s="1082"/>
      <c r="O82" s="1082"/>
      <c r="P82" s="1082"/>
      <c r="Q82" s="1083"/>
      <c r="Y82" s="1088"/>
      <c r="Z82" s="1079"/>
      <c r="AA82" s="1079"/>
      <c r="AB82" s="1079"/>
      <c r="AC82" s="1102"/>
      <c r="AD82" s="1079"/>
      <c r="AE82" s="1079"/>
      <c r="AF82" s="1080"/>
      <c r="AH82" s="1088"/>
      <c r="AI82" s="1079"/>
      <c r="AJ82" s="1079"/>
      <c r="AK82" s="1079"/>
      <c r="AL82" s="1079"/>
      <c r="AM82" s="1080"/>
    </row>
    <row r="83" spans="2:39" ht="15.65" customHeight="1" x14ac:dyDescent="0.25">
      <c r="B83" s="1084"/>
      <c r="C83" s="1198" t="s">
        <v>902</v>
      </c>
      <c r="D83" s="1151"/>
      <c r="E83" s="1151"/>
      <c r="F83" s="1151"/>
      <c r="G83" s="1151"/>
      <c r="H83" s="1151"/>
      <c r="I83" s="1915" t="s">
        <v>797</v>
      </c>
      <c r="J83" s="1902" t="s">
        <v>289</v>
      </c>
      <c r="K83" s="1902" t="s">
        <v>515</v>
      </c>
      <c r="L83" s="1151"/>
      <c r="M83" s="1151"/>
      <c r="N83" s="1151"/>
      <c r="O83" s="1151"/>
      <c r="P83" s="1151"/>
      <c r="Q83" s="1087"/>
      <c r="Y83" s="1088"/>
      <c r="Z83" s="1079"/>
      <c r="AA83" s="1079"/>
      <c r="AB83" s="1079"/>
      <c r="AC83" s="1102"/>
      <c r="AD83" s="1079"/>
      <c r="AE83" s="1079"/>
      <c r="AF83" s="1080"/>
      <c r="AH83" s="1088"/>
      <c r="AI83" s="1079"/>
      <c r="AJ83" s="1079"/>
      <c r="AK83" s="1079"/>
      <c r="AL83" s="1079"/>
      <c r="AM83" s="1080"/>
    </row>
    <row r="84" spans="2:39" ht="15.65" customHeight="1" x14ac:dyDescent="0.25">
      <c r="B84" s="1089"/>
      <c r="C84" s="1090"/>
      <c r="D84" s="1090"/>
      <c r="E84" s="1091" t="s">
        <v>112</v>
      </c>
      <c r="F84" s="1091" t="s">
        <v>117</v>
      </c>
      <c r="G84" s="1091" t="s">
        <v>119</v>
      </c>
      <c r="H84" s="1111" t="s">
        <v>184</v>
      </c>
      <c r="I84" s="1916"/>
      <c r="J84" s="1896"/>
      <c r="K84" s="1896"/>
      <c r="L84" s="1093"/>
      <c r="M84" s="1093"/>
      <c r="N84" s="1093"/>
      <c r="O84" s="1091" t="s">
        <v>82</v>
      </c>
      <c r="P84" s="1093"/>
      <c r="Q84" s="1112"/>
      <c r="Y84" s="1325" t="s">
        <v>106</v>
      </c>
      <c r="Z84" s="1231" t="s">
        <v>107</v>
      </c>
      <c r="AA84" s="1232" t="s">
        <v>108</v>
      </c>
      <c r="AB84" s="1122" t="s">
        <v>109</v>
      </c>
      <c r="AC84" s="1370"/>
      <c r="AD84" s="1079"/>
      <c r="AE84" s="1079"/>
      <c r="AF84" s="1080"/>
      <c r="AH84" s="1088"/>
      <c r="AI84" s="1079"/>
      <c r="AJ84" s="1079"/>
      <c r="AK84" s="1079"/>
      <c r="AL84" s="1079"/>
      <c r="AM84" s="1080"/>
    </row>
    <row r="85" spans="2:39" ht="15.65" customHeight="1" x14ac:dyDescent="0.25">
      <c r="B85" s="1170"/>
      <c r="C85" s="1171"/>
      <c r="D85" s="1171"/>
      <c r="E85" s="1172"/>
      <c r="F85" s="1172"/>
      <c r="G85" s="1172"/>
      <c r="H85" s="1352"/>
      <c r="I85" s="1329"/>
      <c r="J85" s="1479"/>
      <c r="K85" s="1479"/>
      <c r="L85" s="1174"/>
      <c r="M85" s="1174"/>
      <c r="N85" s="1174"/>
      <c r="O85" s="1172"/>
      <c r="P85" s="1174"/>
      <c r="Q85" s="1332"/>
      <c r="Y85" s="1325"/>
      <c r="Z85" s="1231"/>
      <c r="AA85" s="1232"/>
      <c r="AB85" s="1122"/>
      <c r="AC85" s="1370"/>
      <c r="AD85" s="1079"/>
      <c r="AE85" s="1079"/>
      <c r="AF85" s="1080"/>
      <c r="AH85" s="1088"/>
      <c r="AI85" s="1079"/>
      <c r="AJ85" s="1079"/>
      <c r="AK85" s="1079"/>
      <c r="AL85" s="1079"/>
      <c r="AM85" s="1080"/>
    </row>
    <row r="86" spans="2:39" ht="15.65" customHeight="1" x14ac:dyDescent="0.25">
      <c r="B86" s="1095"/>
      <c r="C86" s="1096"/>
      <c r="D86" s="1096"/>
      <c r="E86" s="1096"/>
      <c r="F86" s="1096"/>
      <c r="G86" s="1096"/>
      <c r="H86" s="1098"/>
      <c r="I86" s="100"/>
      <c r="J86" s="1401"/>
      <c r="K86" s="1096"/>
      <c r="L86" s="1099"/>
      <c r="M86" s="1182"/>
      <c r="N86" s="1402" t="s">
        <v>257</v>
      </c>
      <c r="O86" s="1402" t="s">
        <v>259</v>
      </c>
      <c r="P86" s="1403"/>
      <c r="Q86" s="1099"/>
      <c r="Y86" s="1156" t="s">
        <v>113</v>
      </c>
      <c r="Z86" s="1232" t="s">
        <v>114</v>
      </c>
      <c r="AA86" s="1156" t="s">
        <v>113</v>
      </c>
      <c r="AB86" s="1122" t="s">
        <v>115</v>
      </c>
      <c r="AC86" s="1102"/>
      <c r="AD86" s="1079"/>
      <c r="AE86" s="1079"/>
      <c r="AF86" s="1080"/>
      <c r="AH86" s="1088"/>
      <c r="AI86" s="1079"/>
      <c r="AJ86" s="1079"/>
      <c r="AK86" s="1079"/>
      <c r="AL86" s="1079"/>
      <c r="AM86" s="1080"/>
    </row>
    <row r="87" spans="2:39" ht="15.65" customHeight="1" x14ac:dyDescent="0.25">
      <c r="B87" s="1095"/>
      <c r="C87" s="1113" t="s">
        <v>291</v>
      </c>
      <c r="D87" s="1096"/>
      <c r="E87" s="1031"/>
      <c r="F87" s="1032"/>
      <c r="G87" s="612"/>
      <c r="H87" s="613"/>
      <c r="I87" s="1028"/>
      <c r="J87" s="1029"/>
      <c r="K87" s="1030"/>
      <c r="L87" s="1099"/>
      <c r="M87" s="1131"/>
      <c r="N87" s="1131">
        <f>IF(AND(E87="",F87="",G87="",H87="",I87="",J87="",K87=""),0,IFERROR(Z87*AA87*AB87,'Hidden Lists and Summaries'!$C$158))</f>
        <v>0</v>
      </c>
      <c r="O87" s="1131">
        <f>IF(AND(E87="",F87="",G87="",H87="",I87="",J87="",K87=""),0,IFERROR(Y87*Z87*AB87,'Hidden Lists and Summaries'!$C$158))</f>
        <v>0</v>
      </c>
      <c r="P87" s="1132" t="s">
        <v>90</v>
      </c>
      <c r="Q87" s="1099"/>
      <c r="Y87" s="1480" t="str">
        <f>IF(I87&lt;&gt;"",I87,
IF(E87="Solid Fuel",VLOOKUP(F87,'Key Values'!$B$40:$G$58,6,FALSE),
IF(E87="Gaseous Fuel", VLOOKUP(F87,'Key Values'!$B$71:$G$88,6,FALSE),
IF(E87="Liquid Fuel", VLOOKUP(F87,'Key Values'!$B$100:$H$120,7,FALSE),
'Hidden Lists and Summaries'!$C$157))))</f>
        <v>No default, please enter a bespoke value</v>
      </c>
      <c r="Z87" s="1159" t="e">
        <f>IF(J87&lt;&gt;"",J87,IF(E87="Solid Fuel",VLOOKUP(F87,'Key Values'!$B$40:$G$58,2,FALSE),
IF(E87="Gaseous Fuel",VLOOKUP(F87,'Key Values'!$B$71:$G$88,2,FALSE),
VLOOKUP(F87,'Key Values'!$B$100:$H$120,2,FALSE))))</f>
        <v>#N/A</v>
      </c>
      <c r="AA87" s="1229" t="e" cm="1">
        <f t="array" ref="AA87">_xlfn.IFS(K87&lt;&gt;"",K87,E87="Solid Fuel", VLOOKUP(F87,'Key Values'!$B$61:$C$68,2,FALSE),
E87="Liquid fuel",VLOOKUP(F87,'Key Values'!$B$123:$C$143,2,FALSE),
E87="Gaseous Fuel", IF(VLOOKUP(F87,GasFuel[#All],7,FALSE)=TRUE,IF(F87='Key Values'!$B$77,'Hidden Lists and Summaries'!$C$157,VLOOKUP(iq_location,GaseousFuelEmbodiedEmissions[#All],IF(iq_metro="Yes",2,3),FALSE)),'Hidden Lists and Summaries'!$C$157))</f>
        <v>#N/A</v>
      </c>
      <c r="AB87" s="1481" t="e" cm="1">
        <f t="array" ref="AB87">_xlfn.IFS('Key Values'!$B$35=E87, VLOOKUP(H87,massConv[#All], 2, FALSE),
'Key Values'!$B$36=E87, IF(VLOOKUP(F87,'Key Values'!$B$101:$H$121,3,FALSE)="GJ/t", VLOOKUP(H87,massConv[#All], 2, FALSE), VLOOKUP(H87,volConv[#All], 2, FALSE)),
'Key Values'!$B$37=E87, VLOOKUP(H87,volConv[#All], 2, FALSE)) * G87</f>
        <v>#N/A</v>
      </c>
      <c r="AC87" s="101"/>
      <c r="AD87" s="1079"/>
      <c r="AE87" s="1079"/>
      <c r="AF87" s="1080"/>
      <c r="AH87" s="1088"/>
      <c r="AI87" s="1079"/>
      <c r="AJ87" s="1079"/>
      <c r="AK87" s="1079"/>
      <c r="AL87" s="1079"/>
      <c r="AM87" s="1080"/>
    </row>
    <row r="88" spans="2:39" ht="15.65" customHeight="1" x14ac:dyDescent="0.25">
      <c r="B88" s="1105"/>
      <c r="C88" s="1106"/>
      <c r="D88" s="1106"/>
      <c r="E88" s="1106"/>
      <c r="F88" s="1106"/>
      <c r="G88" s="1106"/>
      <c r="H88" s="1106"/>
      <c r="I88" s="1106"/>
      <c r="J88" s="1106"/>
      <c r="K88" s="1106"/>
      <c r="L88" s="1106"/>
      <c r="M88" s="1144" t="s">
        <v>120</v>
      </c>
      <c r="N88" s="1242">
        <f>SUM(N87)</f>
        <v>0</v>
      </c>
      <c r="O88" s="1145">
        <f>SUM(O87)</f>
        <v>0</v>
      </c>
      <c r="P88" s="1146" t="s">
        <v>90</v>
      </c>
      <c r="Q88" s="1107"/>
      <c r="Y88" s="1340"/>
      <c r="Z88" s="1079"/>
      <c r="AA88" s="1234"/>
      <c r="AB88" s="1234"/>
      <c r="AC88" s="101"/>
      <c r="AD88" s="1079"/>
      <c r="AE88" s="1079"/>
      <c r="AF88" s="1080"/>
      <c r="AH88" s="1088">
        <f>N88</f>
        <v>0</v>
      </c>
      <c r="AI88" s="1079">
        <f>O88</f>
        <v>0</v>
      </c>
      <c r="AJ88" s="1079" t="str">
        <f>'Hidden Lists and Summaries'!$B$5</f>
        <v>Embodied (Upstream)</v>
      </c>
      <c r="AK88" s="1079" t="s">
        <v>248</v>
      </c>
      <c r="AL88" s="1079" t="s">
        <v>243</v>
      </c>
      <c r="AM88" s="1080"/>
    </row>
    <row r="89" spans="2:39" s="1164" customFormat="1" ht="15.65" customHeight="1" x14ac:dyDescent="0.25">
      <c r="B89" s="1482"/>
      <c r="C89" s="1336"/>
      <c r="D89" s="1336"/>
      <c r="E89" s="1108"/>
      <c r="F89" s="1337"/>
      <c r="G89" s="1483"/>
      <c r="H89" s="1338"/>
      <c r="I89" s="1484"/>
      <c r="J89" s="1336"/>
      <c r="K89" s="1108"/>
      <c r="L89" s="1108"/>
      <c r="M89" s="1108"/>
      <c r="N89" s="1108"/>
      <c r="O89" s="1108"/>
      <c r="P89" s="1108"/>
      <c r="Q89" s="1108"/>
      <c r="R89" s="1102"/>
      <c r="Y89" s="1485"/>
      <c r="Z89" s="1102"/>
      <c r="AA89" s="1234"/>
      <c r="AB89" s="1234"/>
      <c r="AC89" s="101"/>
      <c r="AD89" s="1102"/>
      <c r="AE89" s="1102"/>
      <c r="AF89" s="1166"/>
      <c r="AH89" s="1165"/>
      <c r="AI89" s="1102"/>
      <c r="AJ89" s="1102"/>
      <c r="AK89" s="1102"/>
      <c r="AL89" s="1102"/>
      <c r="AM89" s="1166"/>
    </row>
    <row r="90" spans="2:39" ht="15.65" customHeight="1" x14ac:dyDescent="0.25">
      <c r="B90" s="1081"/>
      <c r="C90" s="1082"/>
      <c r="D90" s="1082"/>
      <c r="E90" s="1082"/>
      <c r="F90" s="1082"/>
      <c r="G90" s="1082"/>
      <c r="H90" s="1907" t="s">
        <v>287</v>
      </c>
      <c r="I90" s="1907"/>
      <c r="J90" s="1907"/>
      <c r="K90" s="1082"/>
      <c r="L90" s="1082"/>
      <c r="M90" s="1082"/>
      <c r="N90" s="1082"/>
      <c r="O90" s="1082"/>
      <c r="P90" s="1082"/>
      <c r="Q90" s="1083"/>
      <c r="Y90" s="1088"/>
      <c r="Z90" s="1079"/>
      <c r="AA90" s="1079"/>
      <c r="AB90" s="1079"/>
      <c r="AC90" s="1079"/>
      <c r="AD90" s="1079"/>
      <c r="AE90" s="1079"/>
      <c r="AF90" s="1080"/>
      <c r="AH90" s="1088"/>
      <c r="AI90" s="1079"/>
      <c r="AJ90" s="1079"/>
      <c r="AK90" s="1079"/>
      <c r="AL90" s="1079"/>
      <c r="AM90" s="1080"/>
    </row>
    <row r="91" spans="2:39" ht="15.65" customHeight="1" x14ac:dyDescent="0.25">
      <c r="B91" s="1084"/>
      <c r="C91" s="1198" t="s">
        <v>288</v>
      </c>
      <c r="D91" s="1151"/>
      <c r="E91" s="1151"/>
      <c r="F91" s="1151"/>
      <c r="G91" s="1151"/>
      <c r="H91" s="1151"/>
      <c r="I91" s="1915" t="s">
        <v>797</v>
      </c>
      <c r="J91" s="1902" t="s">
        <v>289</v>
      </c>
      <c r="K91" s="1902" t="s">
        <v>515</v>
      </c>
      <c r="L91" s="1151"/>
      <c r="M91" s="1151"/>
      <c r="N91" s="1151"/>
      <c r="O91" s="1151"/>
      <c r="P91" s="1151"/>
      <c r="Q91" s="1087"/>
      <c r="Y91" s="1088"/>
      <c r="Z91" s="1079"/>
      <c r="AA91" s="1079"/>
      <c r="AB91" s="1079"/>
      <c r="AC91" s="1102"/>
      <c r="AD91" s="1079"/>
      <c r="AE91" s="1079"/>
      <c r="AF91" s="1080"/>
      <c r="AH91" s="1088"/>
      <c r="AI91" s="1079"/>
      <c r="AJ91" s="1079"/>
      <c r="AK91" s="1079"/>
      <c r="AL91" s="1079"/>
      <c r="AM91" s="1080"/>
    </row>
    <row r="92" spans="2:39" ht="15.65" customHeight="1" x14ac:dyDescent="0.25">
      <c r="B92" s="1089"/>
      <c r="C92" s="1090"/>
      <c r="D92" s="1090"/>
      <c r="E92" s="1091" t="s">
        <v>112</v>
      </c>
      <c r="F92" s="1091" t="s">
        <v>117</v>
      </c>
      <c r="G92" s="1091" t="s">
        <v>119</v>
      </c>
      <c r="H92" s="1111" t="s">
        <v>184</v>
      </c>
      <c r="I92" s="1916"/>
      <c r="J92" s="1896"/>
      <c r="K92" s="1896"/>
      <c r="L92" s="1093"/>
      <c r="M92" s="1093"/>
      <c r="N92" s="1093"/>
      <c r="O92" s="1091" t="s">
        <v>82</v>
      </c>
      <c r="P92" s="1093"/>
      <c r="Q92" s="1112"/>
      <c r="Y92" s="1325" t="s">
        <v>106</v>
      </c>
      <c r="Z92" s="1231" t="s">
        <v>107</v>
      </c>
      <c r="AA92" s="1232" t="s">
        <v>108</v>
      </c>
      <c r="AB92" s="1122" t="s">
        <v>109</v>
      </c>
      <c r="AC92" s="1370"/>
      <c r="AD92" s="1079"/>
      <c r="AE92" s="1079"/>
      <c r="AF92" s="1080"/>
      <c r="AH92" s="1088"/>
      <c r="AI92" s="1079"/>
      <c r="AJ92" s="1079"/>
      <c r="AK92" s="1079"/>
      <c r="AL92" s="1079"/>
      <c r="AM92" s="1080"/>
    </row>
    <row r="93" spans="2:39" ht="15.65" customHeight="1" x14ac:dyDescent="0.25">
      <c r="B93" s="1095"/>
      <c r="C93" s="1096"/>
      <c r="D93" s="1096"/>
      <c r="E93" s="1096"/>
      <c r="F93" s="1096"/>
      <c r="G93" s="1096"/>
      <c r="H93" s="1098"/>
      <c r="I93" s="100"/>
      <c r="J93" s="1401"/>
      <c r="K93" s="1096"/>
      <c r="L93" s="1099"/>
      <c r="M93" s="1182"/>
      <c r="N93" s="1402" t="s">
        <v>257</v>
      </c>
      <c r="O93" s="1402" t="s">
        <v>259</v>
      </c>
      <c r="P93" s="1403"/>
      <c r="Q93" s="1099"/>
      <c r="Y93" s="1156" t="s">
        <v>113</v>
      </c>
      <c r="Z93" s="1232" t="s">
        <v>114</v>
      </c>
      <c r="AA93" s="1156" t="s">
        <v>113</v>
      </c>
      <c r="AB93" s="1122" t="s">
        <v>115</v>
      </c>
      <c r="AC93" s="1102"/>
      <c r="AD93" s="1079"/>
      <c r="AE93" s="1079"/>
      <c r="AF93" s="1080"/>
      <c r="AH93" s="1088"/>
      <c r="AI93" s="1079"/>
      <c r="AJ93" s="1079"/>
      <c r="AK93" s="1079"/>
      <c r="AL93" s="1079"/>
      <c r="AM93" s="1080"/>
    </row>
    <row r="94" spans="2:39" ht="15.65" customHeight="1" x14ac:dyDescent="0.25">
      <c r="B94" s="1095"/>
      <c r="C94" s="1113" t="s">
        <v>291</v>
      </c>
      <c r="D94" s="1096"/>
      <c r="E94" s="967"/>
      <c r="F94" s="968"/>
      <c r="G94" s="374"/>
      <c r="H94" s="427"/>
      <c r="I94" s="975"/>
      <c r="J94" s="976"/>
      <c r="K94" s="977"/>
      <c r="L94" s="1099"/>
      <c r="M94" s="1131"/>
      <c r="N94" s="1131">
        <f>IF(AND(E94="",F94="",G94="",H94="",I94="",J94="",K94=""),0,IFERROR(Z94*AA94*AB94,'Hidden Lists and Summaries'!$C$158))</f>
        <v>0</v>
      </c>
      <c r="O94" s="1131">
        <f>IF(AND(E94="",F94="",G94="",H94="",I94="",J94="",K94=""),0,IFERROR(Y94*Z94*AB94,'Hidden Lists and Summaries'!$C$158))</f>
        <v>0</v>
      </c>
      <c r="P94" s="1132" t="s">
        <v>90</v>
      </c>
      <c r="Q94" s="1099"/>
      <c r="Y94" s="1404" t="str">
        <f>IF(I94&lt;&gt;"",I94,
IF(E94="Solid Fuel",VLOOKUP(F94,'Key Values'!$B$40:$G$58,6,FALSE),
IF(E94="Gaseous Fuel", VLOOKUP(F94,'Key Values'!$B$71:$G$88,6,FALSE),
IF(E94="Liquid Fuel", VLOOKUP(F94,'Key Values'!$B$100:$H$120,7,FALSE),
'Hidden Lists and Summaries'!$C$157))))</f>
        <v>No default, please enter a bespoke value</v>
      </c>
      <c r="Z94" s="1148" t="e">
        <f>IF(J94&lt;&gt;"",J94,IF(E94="Solid Fuel",VLOOKUP(F94,'Key Values'!$B$40:$G$58,2,FALSE),
IF(E94="Gaseous Fuel",VLOOKUP(F94,'Key Values'!$B$71:$G$88,2,FALSE),
VLOOKUP(F94,'Key Values'!$B$100:$H$120,2,FALSE))))</f>
        <v>#N/A</v>
      </c>
      <c r="AA94" s="1405" t="e" cm="1">
        <f t="array" ref="AA94">_xlfn.IFS(K94&lt;&gt;"",K94,E94="Solid Fuel", VLOOKUP(F94,'Key Values'!$B$61:$C$68,2,FALSE),
E94="Liquid fuel",VLOOKUP(F94,'Key Values'!$B$123:$C$143,2,FALSE),
E94="Gaseous Fuel", IF(VLOOKUP(F94,GasFuel[#All],7,FALSE)=TRUE,IF(F94='Key Values'!$B$77,'Hidden Lists and Summaries'!$C$157,VLOOKUP(iq_location,GaseousFuelEmbodiedEmissions[#All],IF(iq_metro="Yes",2,3),FALSE)),'Hidden Lists and Summaries'!$C$157))</f>
        <v>#N/A</v>
      </c>
      <c r="AB94" s="1406" t="e" cm="1">
        <f t="array" ref="AB94">_xlfn.IFS('Key Values'!$B$35=E94, VLOOKUP(H94,massConv[#All], 2, FALSE),
'Key Values'!$B$36=E94, IF(VLOOKUP(F94,'Key Values'!$B$101:$H$121,3,FALSE)="GJ/t", VLOOKUP(H94,massConv[#All], 2, FALSE), VLOOKUP(H94,volConv[#All], 2, FALSE)),
'Key Values'!$B$37=E94, VLOOKUP(H94,volConv[#All], 2, FALSE)) * G94</f>
        <v>#N/A</v>
      </c>
      <c r="AC94" s="101"/>
      <c r="AD94" s="1079"/>
      <c r="AE94" s="1079"/>
      <c r="AF94" s="1080"/>
      <c r="AH94" s="1088"/>
      <c r="AI94" s="1079"/>
      <c r="AJ94" s="1079"/>
      <c r="AK94" s="1079"/>
      <c r="AL94" s="1079"/>
      <c r="AM94" s="1080"/>
    </row>
    <row r="95" spans="2:39" ht="15.65" customHeight="1" x14ac:dyDescent="0.25">
      <c r="B95" s="1095"/>
      <c r="C95" s="1113" t="s">
        <v>292</v>
      </c>
      <c r="D95" s="1096"/>
      <c r="E95" s="969"/>
      <c r="F95" s="970"/>
      <c r="G95" s="379"/>
      <c r="H95" s="380"/>
      <c r="I95" s="978"/>
      <c r="J95" s="979"/>
      <c r="K95" s="980"/>
      <c r="L95" s="1099"/>
      <c r="M95" s="1131"/>
      <c r="N95" s="1131">
        <f>IF(AND(E95="",F95="",G95="",H95="",I95="",J95="",K95=""),0,IFERROR(Z95*AA95*AB95,'Hidden Lists and Summaries'!$C$158))</f>
        <v>0</v>
      </c>
      <c r="O95" s="1131">
        <f>IF(AND(E95="",F95="",G95="",H95="",I95="",J95="",K95=""),0,IFERROR(Y95*Z95*AB95,'Hidden Lists and Summaries'!$C$158))</f>
        <v>0</v>
      </c>
      <c r="P95" s="1132" t="s">
        <v>90</v>
      </c>
      <c r="Q95" s="1099"/>
      <c r="Y95" s="1340" t="str">
        <f>IF(I95&lt;&gt;"",I95,
IF(E95="Solid Fuel",VLOOKUP(F95,'Key Values'!$B$40:$G$58,6,FALSE),
IF(E95="Gaseous Fuel", VLOOKUP(F95,'Key Values'!$B$71:$G$88,6,FALSE),
IF(E95="Liquid Fuel", VLOOKUP(F95,'Key Values'!$B$100:$H$120,7,FALSE),
'Hidden Lists and Summaries'!$C$157))))</f>
        <v>No default, please enter a bespoke value</v>
      </c>
      <c r="Z95" s="1079" t="e">
        <f>IF(J95&lt;&gt;"",J95,IF(E95="Solid Fuel",VLOOKUP(F95,'Key Values'!$B$40:$G$58,2,FALSE),
IF(E95="Gaseous Fuel",VLOOKUP(F95,'Key Values'!$B$71:$G$88,2,FALSE),
VLOOKUP(F95,'Key Values'!$B$100:$H$120,2,FALSE))))</f>
        <v>#N/A</v>
      </c>
      <c r="AA95" s="1234" t="e" cm="1">
        <f t="array" ref="AA95">_xlfn.IFS(K95&lt;&gt;"",K95,E95="Solid Fuel", VLOOKUP(F95,'Key Values'!$B$61:$C$68,2,FALSE),
E95="Liquid fuel",VLOOKUP(F95,'Key Values'!$B$123:$C$143,2,FALSE),
E95="Gaseous Fuel", IF(VLOOKUP(F95,GasFuel[#All],7,FALSE)=TRUE,IF(F95='Key Values'!$B$77,'Hidden Lists and Summaries'!$C$157,VLOOKUP(iq_location,GaseousFuelEmbodiedEmissions[#All],IF(iq_metro="Yes",2,3),FALSE)),'Hidden Lists and Summaries'!$C$157))</f>
        <v>#N/A</v>
      </c>
      <c r="AB95" s="1333" t="e" cm="1">
        <f t="array" ref="AB95">_xlfn.IFS('Key Values'!$B$35=E95, VLOOKUP(H95,massConv[#All], 2, FALSE),
'Key Values'!$B$36=E95, IF(VLOOKUP(F95,'Key Values'!$B$101:$H$121,3,FALSE)="GJ/t", VLOOKUP(H95,massConv[#All], 2, FALSE), VLOOKUP(H95,volConv[#All], 2, FALSE)),
'Key Values'!$B$37=E95, VLOOKUP(H95,volConv[#All], 2, FALSE)) * G95</f>
        <v>#N/A</v>
      </c>
      <c r="AC95" s="1079"/>
      <c r="AD95" s="1079"/>
      <c r="AE95" s="1079"/>
      <c r="AF95" s="1080"/>
      <c r="AH95" s="1088"/>
      <c r="AI95" s="1079"/>
      <c r="AJ95" s="1079"/>
      <c r="AK95" s="1079"/>
      <c r="AL95" s="1079"/>
      <c r="AM95" s="1080"/>
    </row>
    <row r="96" spans="2:39" ht="15.65" customHeight="1" x14ac:dyDescent="0.25">
      <c r="B96" s="1095"/>
      <c r="C96" s="1113" t="s">
        <v>293</v>
      </c>
      <c r="D96" s="1096"/>
      <c r="E96" s="971"/>
      <c r="F96" s="972"/>
      <c r="G96" s="386"/>
      <c r="H96" s="380"/>
      <c r="I96" s="978"/>
      <c r="J96" s="979"/>
      <c r="K96" s="981"/>
      <c r="L96" s="1099"/>
      <c r="M96" s="1131"/>
      <c r="N96" s="1131">
        <f>IF(AND(E96="",F96="",G96="",H96="",I96="",J96="",K96=""),0,IFERROR(Z96*AA96*AB96,'Hidden Lists and Summaries'!$C$158))</f>
        <v>0</v>
      </c>
      <c r="O96" s="1131">
        <f>IF(AND(E96="",F96="",G96="",H96="",I96="",J96="",K96=""),0,IFERROR(Y96*Z96*AB96,'Hidden Lists and Summaries'!$C$158))</f>
        <v>0</v>
      </c>
      <c r="P96" s="1132" t="s">
        <v>90</v>
      </c>
      <c r="Q96" s="1099"/>
      <c r="Y96" s="1340" t="str">
        <f>IF(I96&lt;&gt;"",I96,
IF(E96="Solid Fuel",VLOOKUP(F96,'Key Values'!$B$40:$G$58,6,FALSE),
IF(E96="Gaseous Fuel", VLOOKUP(F96,'Key Values'!$B$71:$G$88,6,FALSE),
IF(E96="Liquid Fuel", VLOOKUP(F96,'Key Values'!$B$100:$H$120,7,FALSE),
'Hidden Lists and Summaries'!$C$157))))</f>
        <v>No default, please enter a bespoke value</v>
      </c>
      <c r="Z96" s="1079" t="e">
        <f>IF(J96&lt;&gt;"",J96,IF(E96="Solid Fuel",VLOOKUP(F96,'Key Values'!$B$40:$G$58,2,FALSE),
IF(E96="Gaseous Fuel",VLOOKUP(F96,'Key Values'!$B$71:$G$88,2,FALSE),
VLOOKUP(F96,'Key Values'!$B$100:$H$120,2,FALSE))))</f>
        <v>#N/A</v>
      </c>
      <c r="AA96" s="1234" t="e" cm="1">
        <f t="array" ref="AA96">_xlfn.IFS(K96&lt;&gt;"",K96,E96="Solid Fuel", VLOOKUP(F96,'Key Values'!$B$61:$C$68,2,FALSE),
E96="Liquid fuel",VLOOKUP(F96,'Key Values'!$B$123:$C$143,2,FALSE),
E96="Gaseous Fuel", IF(VLOOKUP(F96,GasFuel[#All],7,FALSE)=TRUE,IF(F96='Key Values'!$B$77,'Hidden Lists and Summaries'!$C$157,VLOOKUP(iq_location,GaseousFuelEmbodiedEmissions[#All],IF(iq_metro="Yes",2,3),FALSE)),'Hidden Lists and Summaries'!$C$157))</f>
        <v>#N/A</v>
      </c>
      <c r="AB96" s="1333" t="e" cm="1">
        <f t="array" ref="AB96">_xlfn.IFS('Key Values'!$B$35=E96, VLOOKUP(H96,massConv[#All], 2, FALSE),
'Key Values'!$B$36=E96, IF(VLOOKUP(F96,'Key Values'!$B$101:$H$121,3,FALSE)="GJ/t", VLOOKUP(H96,massConv[#All], 2, FALSE), VLOOKUP(H96,volConv[#All], 2, FALSE)),
'Key Values'!$B$37=E96, VLOOKUP(H96,volConv[#All], 2, FALSE)) * G96</f>
        <v>#N/A</v>
      </c>
      <c r="AC96" s="1079"/>
      <c r="AD96" s="1079"/>
      <c r="AE96" s="1079"/>
      <c r="AF96" s="1080"/>
      <c r="AH96" s="1088"/>
      <c r="AI96" s="1079"/>
      <c r="AJ96" s="1079"/>
      <c r="AK96" s="1079"/>
      <c r="AL96" s="1079"/>
      <c r="AM96" s="1080"/>
    </row>
    <row r="97" spans="2:39" ht="15.65" customHeight="1" x14ac:dyDescent="0.25">
      <c r="B97" s="1095"/>
      <c r="C97" s="1113" t="s">
        <v>294</v>
      </c>
      <c r="D97" s="1096"/>
      <c r="E97" s="971"/>
      <c r="F97" s="972"/>
      <c r="G97" s="387"/>
      <c r="H97" s="380"/>
      <c r="I97" s="982"/>
      <c r="J97" s="983"/>
      <c r="K97" s="981"/>
      <c r="L97" s="1099"/>
      <c r="M97" s="1131"/>
      <c r="N97" s="1131">
        <f>IF(AND(E97="",F97="",G97="",H97="",I97="",J97="",K97=""),0,IFERROR(Z97*AA97*AB97,'Hidden Lists and Summaries'!$C$158))</f>
        <v>0</v>
      </c>
      <c r="O97" s="1131">
        <f>IF(AND(E97="",F97="",G97="",H97="",I97="",J97="",K97=""),0,IFERROR(Y97*Z97*AB97,'Hidden Lists and Summaries'!$C$158))</f>
        <v>0</v>
      </c>
      <c r="P97" s="1132" t="s">
        <v>90</v>
      </c>
      <c r="Q97" s="1099"/>
      <c r="Y97" s="1340" t="str">
        <f>IF(I97&lt;&gt;"",I97,
IF(E97="Solid Fuel",VLOOKUP(F97,'Key Values'!$B$40:$G$58,6,FALSE),
IF(E97="Gaseous Fuel", VLOOKUP(F97,'Key Values'!$B$71:$G$88,6,FALSE),
IF(E97="Liquid Fuel", VLOOKUP(F97,'Key Values'!$B$100:$H$120,7,FALSE),
'Hidden Lists and Summaries'!$C$157))))</f>
        <v>No default, please enter a bespoke value</v>
      </c>
      <c r="Z97" s="1079" t="e">
        <f>IF(J97&lt;&gt;"",J97,IF(E97="Solid Fuel",VLOOKUP(F97,'Key Values'!$B$40:$G$58,2,FALSE),
IF(E97="Gaseous Fuel",VLOOKUP(F97,'Key Values'!$B$71:$G$88,2,FALSE),
VLOOKUP(F97,'Key Values'!$B$100:$H$120,2,FALSE))))</f>
        <v>#N/A</v>
      </c>
      <c r="AA97" s="1234" t="e" cm="1">
        <f t="array" ref="AA97">_xlfn.IFS(K97&lt;&gt;"",K97,E97="Solid Fuel", VLOOKUP(F97,'Key Values'!$B$61:$C$68,2,FALSE),
E97="Liquid fuel",VLOOKUP(F97,'Key Values'!$B$123:$C$143,2,FALSE),
E97="Gaseous Fuel", IF(VLOOKUP(F97,GasFuel[#All],7,FALSE)=TRUE,IF(F97='Key Values'!$B$77,'Hidden Lists and Summaries'!$C$157,VLOOKUP(iq_location,GaseousFuelEmbodiedEmissions[#All],IF(iq_metro="Yes",2,3),FALSE)),'Hidden Lists and Summaries'!$C$157))</f>
        <v>#N/A</v>
      </c>
      <c r="AB97" s="1333" t="e" cm="1">
        <f t="array" ref="AB97">_xlfn.IFS('Key Values'!$B$35=E97, VLOOKUP(H97,massConv[#All], 2, FALSE),
'Key Values'!$B$36=E97, IF(VLOOKUP(F97,'Key Values'!$B$101:$H$121,3,FALSE)="GJ/t", VLOOKUP(H97,massConv[#All], 2, FALSE), VLOOKUP(H97,volConv[#All], 2, FALSE)),
'Key Values'!$B$37=E97, VLOOKUP(H97,volConv[#All], 2, FALSE)) * G97</f>
        <v>#N/A</v>
      </c>
      <c r="AC97" s="1079"/>
      <c r="AD97" s="1079"/>
      <c r="AE97" s="1079"/>
      <c r="AF97" s="1080"/>
      <c r="AH97" s="1088"/>
      <c r="AI97" s="1079"/>
      <c r="AJ97" s="1079"/>
      <c r="AK97" s="1079"/>
      <c r="AL97" s="1079"/>
      <c r="AM97" s="1080"/>
    </row>
    <row r="98" spans="2:39" x14ac:dyDescent="0.25">
      <c r="B98" s="1095"/>
      <c r="C98" s="1113" t="s">
        <v>295</v>
      </c>
      <c r="D98" s="1096"/>
      <c r="E98" s="973"/>
      <c r="F98" s="974"/>
      <c r="G98" s="392"/>
      <c r="H98" s="396"/>
      <c r="I98" s="984"/>
      <c r="J98" s="985"/>
      <c r="K98" s="986"/>
      <c r="L98" s="1099"/>
      <c r="M98" s="1131"/>
      <c r="N98" s="1131">
        <f>IF(AND(E98="",F98="",G98="",H98="",I98="",J98="",K98=""),0,IFERROR(Z98*AA98*AB98,'Hidden Lists and Summaries'!$C$158))</f>
        <v>0</v>
      </c>
      <c r="O98" s="1131">
        <f>IF(AND(E98="",F98="",G98="",H98="",I98="",J98="",K98=""),0,IFERROR(Y98*Z98*AB98,'Hidden Lists and Summaries'!$C$158))</f>
        <v>0</v>
      </c>
      <c r="P98" s="1132" t="s">
        <v>90</v>
      </c>
      <c r="Q98" s="1099"/>
      <c r="Y98" s="1407" t="str">
        <f>IF(I98&lt;&gt;"",I98,
IF(E98="Solid Fuel",VLOOKUP(F98,'Key Values'!$B$40:$G$58,6,FALSE),
IF(E98="Gaseous Fuel", VLOOKUP(F98,'Key Values'!$B$71:$G$88,6,FALSE),
IF(E98="Liquid Fuel", VLOOKUP(F98,'Key Values'!$B$100:$H$120,7,FALSE),
'Hidden Lists and Summaries'!$C$157))))</f>
        <v>No default, please enter a bespoke value</v>
      </c>
      <c r="Z98" s="1142" t="e">
        <f>IF(J98&lt;&gt;"",J98,IF(E98="Solid Fuel",VLOOKUP(F98,'Key Values'!$B$40:$G$58,2,FALSE),
IF(E98="Gaseous Fuel",VLOOKUP(F98,'Key Values'!$B$71:$G$88,2,FALSE),
VLOOKUP(F98,'Key Values'!$B$100:$H$120,2,FALSE))))</f>
        <v>#N/A</v>
      </c>
      <c r="AA98" s="1237" t="e" cm="1">
        <f t="array" ref="AA98">_xlfn.IFS(K98&lt;&gt;"",K98,E98="Solid Fuel", VLOOKUP(F98,'Key Values'!$B$61:$C$68,2,FALSE),
E98="Liquid fuel",VLOOKUP(F98,'Key Values'!$B$123:$C$143,2,FALSE),
E98="Gaseous Fuel", IF(VLOOKUP(F98,GasFuel[#All],7,FALSE)=TRUE,IF(F98='Key Values'!$B$77,'Hidden Lists and Summaries'!$C$157,VLOOKUP(iq_location,GaseousFuelEmbodiedEmissions[#All],IF(iq_metro="Yes",2,3),FALSE)),'Hidden Lists and Summaries'!$C$157))</f>
        <v>#N/A</v>
      </c>
      <c r="AB98" s="1334" t="e" cm="1">
        <f t="array" ref="AB98">_xlfn.IFS('Key Values'!$B$35=E98, VLOOKUP(H98,massConv[#All], 2, FALSE),
'Key Values'!$B$36=E98, IF(VLOOKUP(F98,'Key Values'!$B$101:$H$121,3,FALSE)="GJ/t", VLOOKUP(H98,massConv[#All], 2, FALSE), VLOOKUP(H98,volConv[#All], 2, FALSE)),
'Key Values'!$B$37=E98, VLOOKUP(H98,volConv[#All], 2, FALSE)) * G98</f>
        <v>#N/A</v>
      </c>
      <c r="AC98" s="1079"/>
      <c r="AD98" s="1079"/>
      <c r="AE98" s="1079"/>
      <c r="AF98" s="1080"/>
      <c r="AH98" s="1088"/>
      <c r="AI98" s="1079"/>
      <c r="AJ98" s="1079"/>
      <c r="AK98" s="1079"/>
      <c r="AL98" s="1079"/>
      <c r="AM98" s="1080"/>
    </row>
    <row r="99" spans="2:39" ht="15.65" customHeight="1" x14ac:dyDescent="0.25">
      <c r="B99" s="1105"/>
      <c r="C99" s="1106"/>
      <c r="D99" s="1106"/>
      <c r="E99" s="1106"/>
      <c r="F99" s="1335"/>
      <c r="G99" s="1239"/>
      <c r="H99" s="1115"/>
      <c r="I99" s="1115"/>
      <c r="J99" s="1106"/>
      <c r="K99" s="1106"/>
      <c r="L99" s="1107"/>
      <c r="M99" s="1241" t="s">
        <v>120</v>
      </c>
      <c r="N99" s="1242">
        <f>SUM(N94:N98)</f>
        <v>0</v>
      </c>
      <c r="O99" s="1145">
        <f>SUM(O94:O98)</f>
        <v>0</v>
      </c>
      <c r="P99" s="1146" t="s">
        <v>90</v>
      </c>
      <c r="Q99" s="1107"/>
      <c r="Y99" s="1088"/>
      <c r="Z99" s="1079"/>
      <c r="AA99" s="1079"/>
      <c r="AB99" s="1138"/>
      <c r="AC99" s="1079"/>
      <c r="AD99" s="1079"/>
      <c r="AE99" s="1079"/>
      <c r="AF99" s="1080"/>
      <c r="AG99" s="1079"/>
      <c r="AH99" s="1088">
        <f>N99</f>
        <v>0</v>
      </c>
      <c r="AI99" s="1079">
        <f>O99</f>
        <v>0</v>
      </c>
      <c r="AJ99" s="1079" t="str">
        <f>'Hidden Lists and Summaries'!B5</f>
        <v>Embodied (Upstream)</v>
      </c>
      <c r="AK99" s="1079" t="str">
        <f>'Hidden Lists and Summaries'!B8</f>
        <v>Fuel Combustion</v>
      </c>
      <c r="AL99" s="1079" t="s">
        <v>243</v>
      </c>
      <c r="AM99" s="1080"/>
    </row>
    <row r="100" spans="2:39" ht="15.65" customHeight="1" x14ac:dyDescent="0.25">
      <c r="B100" s="1118"/>
      <c r="C100" s="1118"/>
      <c r="D100" s="1118"/>
      <c r="E100" s="1118"/>
      <c r="F100" s="1118"/>
      <c r="G100" s="1118"/>
      <c r="H100" s="1118"/>
      <c r="I100" s="1118"/>
      <c r="J100" s="1118"/>
      <c r="K100" s="1118"/>
      <c r="L100" s="1118"/>
      <c r="M100" s="1118"/>
      <c r="N100" s="1118"/>
      <c r="O100" s="1118"/>
      <c r="P100" s="1118"/>
      <c r="Q100" s="1118"/>
      <c r="Y100" s="1088"/>
      <c r="Z100" s="1079"/>
      <c r="AA100" s="1079"/>
      <c r="AB100" s="1079"/>
      <c r="AC100" s="1079"/>
      <c r="AD100" s="1079"/>
      <c r="AE100" s="1079"/>
      <c r="AF100" s="1080"/>
      <c r="AG100" s="1079"/>
      <c r="AH100" s="1088"/>
      <c r="AI100" s="1079"/>
      <c r="AJ100" s="1079"/>
      <c r="AK100" s="1079"/>
      <c r="AL100" s="1079"/>
      <c r="AM100" s="1080"/>
    </row>
    <row r="101" spans="2:39" ht="15.65" customHeight="1" x14ac:dyDescent="0.25">
      <c r="B101" s="1081"/>
      <c r="C101" s="1082"/>
      <c r="D101" s="1082"/>
      <c r="E101" s="1082"/>
      <c r="F101" s="1082"/>
      <c r="G101" s="1082"/>
      <c r="H101" s="1082"/>
      <c r="I101" s="1082"/>
      <c r="J101" s="1082"/>
      <c r="K101" s="1082"/>
      <c r="L101" s="1082"/>
      <c r="M101" s="1082"/>
      <c r="N101" s="1082"/>
      <c r="O101" s="1082"/>
      <c r="P101" s="1082"/>
      <c r="Q101" s="1083"/>
      <c r="Y101" s="1088"/>
      <c r="Z101" s="1079"/>
      <c r="AA101" s="1079"/>
      <c r="AB101" s="1079"/>
      <c r="AC101" s="1079"/>
      <c r="AD101" s="1079"/>
      <c r="AE101" s="1079"/>
      <c r="AF101" s="1080"/>
      <c r="AG101" s="1079"/>
      <c r="AH101" s="1088"/>
      <c r="AI101" s="1079"/>
      <c r="AJ101" s="1079"/>
      <c r="AK101" s="1079"/>
      <c r="AL101" s="1079"/>
      <c r="AM101" s="1080"/>
    </row>
    <row r="102" spans="2:39" ht="15.65" customHeight="1" x14ac:dyDescent="0.25">
      <c r="B102" s="1084"/>
      <c r="C102" s="1198" t="s">
        <v>296</v>
      </c>
      <c r="D102" s="1151"/>
      <c r="E102" s="1151"/>
      <c r="F102" s="1151"/>
      <c r="G102" s="1151"/>
      <c r="H102" s="1151"/>
      <c r="I102" s="1151"/>
      <c r="J102" s="1151"/>
      <c r="K102" s="1151"/>
      <c r="L102" s="1151"/>
      <c r="M102" s="1151"/>
      <c r="N102" s="1151"/>
      <c r="O102" s="1151"/>
      <c r="P102" s="1151"/>
      <c r="Q102" s="1087"/>
      <c r="Y102" s="1088"/>
      <c r="Z102" s="1079"/>
      <c r="AA102" s="1079"/>
      <c r="AB102" s="1079"/>
      <c r="AC102" s="1079"/>
      <c r="AD102" s="1079"/>
      <c r="AE102" s="1079"/>
      <c r="AF102" s="1080"/>
      <c r="AG102" s="1079"/>
      <c r="AH102" s="1088"/>
      <c r="AI102" s="1079"/>
      <c r="AJ102" s="1079"/>
      <c r="AK102" s="1079"/>
      <c r="AL102" s="1079"/>
      <c r="AM102" s="1080"/>
    </row>
    <row r="103" spans="2:39" ht="15.65" customHeight="1" x14ac:dyDescent="0.25">
      <c r="B103" s="1089"/>
      <c r="C103" s="1090"/>
      <c r="D103" s="1090"/>
      <c r="E103" s="1091" t="s">
        <v>297</v>
      </c>
      <c r="F103" s="1091" t="s">
        <v>298</v>
      </c>
      <c r="G103" s="1111" t="s">
        <v>299</v>
      </c>
      <c r="H103" s="1111" t="s">
        <v>184</v>
      </c>
      <c r="I103" s="1111"/>
      <c r="J103" s="1093"/>
      <c r="K103" s="1093"/>
      <c r="L103" s="1093"/>
      <c r="M103" s="1093"/>
      <c r="N103" s="1093"/>
      <c r="O103" s="1091" t="s">
        <v>82</v>
      </c>
      <c r="P103" s="1093"/>
      <c r="Q103" s="1112"/>
      <c r="Y103" s="1153" t="s">
        <v>300</v>
      </c>
      <c r="Z103" s="1154" t="s">
        <v>301</v>
      </c>
      <c r="AA103" s="1154" t="s">
        <v>516</v>
      </c>
      <c r="AB103" s="1122" t="s">
        <v>94</v>
      </c>
      <c r="AC103" s="1122" t="s">
        <v>303</v>
      </c>
      <c r="AD103" s="1079"/>
      <c r="AE103" s="1079"/>
      <c r="AF103" s="1080"/>
      <c r="AG103" s="1079"/>
      <c r="AH103" s="1088"/>
      <c r="AI103" s="1079"/>
      <c r="AJ103" s="1079"/>
      <c r="AK103" s="1079"/>
      <c r="AL103" s="1079"/>
      <c r="AM103" s="1080"/>
    </row>
    <row r="104" spans="2:39" ht="15.65" customHeight="1" x14ac:dyDescent="0.25">
      <c r="B104" s="1095"/>
      <c r="C104" s="1096"/>
      <c r="D104" s="1096"/>
      <c r="E104" s="1096"/>
      <c r="F104" s="1096"/>
      <c r="G104" s="1096"/>
      <c r="H104" s="1098"/>
      <c r="I104" s="1098"/>
      <c r="J104" s="1096"/>
      <c r="K104" s="1096"/>
      <c r="L104" s="1096"/>
      <c r="M104" s="1096"/>
      <c r="N104" s="1125"/>
      <c r="O104" s="1322" t="s">
        <v>847</v>
      </c>
      <c r="P104" s="1155"/>
      <c r="Q104" s="1099"/>
      <c r="Y104" s="1243"/>
      <c r="Z104" s="1157" t="s">
        <v>116</v>
      </c>
      <c r="AA104" s="1244"/>
      <c r="AB104" s="1122" t="s">
        <v>128</v>
      </c>
      <c r="AC104" s="1122"/>
      <c r="AD104" s="1079"/>
      <c r="AE104" s="1079"/>
      <c r="AF104" s="1080"/>
      <c r="AG104" s="1079"/>
      <c r="AH104" s="1088"/>
      <c r="AI104" s="1079"/>
      <c r="AJ104" s="1079"/>
      <c r="AK104" s="1079"/>
      <c r="AL104" s="1079"/>
      <c r="AM104" s="1080"/>
    </row>
    <row r="105" spans="2:39" ht="15.65" customHeight="1" x14ac:dyDescent="0.25">
      <c r="B105" s="1095"/>
      <c r="C105" s="1113" t="s">
        <v>305</v>
      </c>
      <c r="D105" s="1096"/>
      <c r="E105" s="987"/>
      <c r="F105" s="988"/>
      <c r="G105" s="358"/>
      <c r="H105" s="397"/>
      <c r="I105" s="1098"/>
      <c r="J105" s="1096"/>
      <c r="K105" s="1096"/>
      <c r="L105" s="1096"/>
      <c r="M105" s="1096"/>
      <c r="N105" s="1130"/>
      <c r="O105" s="1131">
        <f>IF(AND(E105="",F105="",G105="",H105=""),0,IFERROR(Z105*AC105,'Hidden Lists and Summaries'!$C$158))</f>
        <v>0</v>
      </c>
      <c r="P105" s="1132" t="s">
        <v>90</v>
      </c>
      <c r="Q105" s="1099"/>
      <c r="Y105" s="1147" t="e">
        <f>VLOOKUP(F105,CO2Equivalence[],2,FALSE)</f>
        <v>#N/A</v>
      </c>
      <c r="Z105" s="1148" t="e">
        <f>AB105*Y105</f>
        <v>#N/A</v>
      </c>
      <c r="AA105" s="1245" t="e">
        <f>IF(F105='Key Values'!$B$221,VLOOKUP('Ammonia Cracking'!E105,IndustrialProcessEmissions[],3,FALSE),VLOOKUP('Ammonia Cracking'!E105,IndustrialProcessEmissions[],2,FALSE))</f>
        <v>#N/A</v>
      </c>
      <c r="AB105" s="1135" t="e">
        <f>VLOOKUP(H105,massConv[#All], 3, FALSE)*G105</f>
        <v>#N/A</v>
      </c>
      <c r="AC105" s="1246" t="e">
        <f t="shared" ref="AC105:AC111" si="1">AA105*iq_batchDurationYears</f>
        <v>#N/A</v>
      </c>
      <c r="AD105" s="1079"/>
      <c r="AE105" s="1079"/>
      <c r="AF105" s="1080"/>
      <c r="AG105" s="1079"/>
      <c r="AH105" s="1088"/>
      <c r="AI105" s="1079"/>
      <c r="AJ105" s="1079"/>
      <c r="AK105" s="1079"/>
      <c r="AL105" s="1079"/>
      <c r="AM105" s="1080"/>
    </row>
    <row r="106" spans="2:39" ht="15.65" customHeight="1" x14ac:dyDescent="0.25">
      <c r="B106" s="1095"/>
      <c r="C106" s="1113" t="s">
        <v>306</v>
      </c>
      <c r="D106" s="1096"/>
      <c r="E106" s="989"/>
      <c r="F106" s="990"/>
      <c r="G106" s="398"/>
      <c r="H106" s="399"/>
      <c r="I106" s="1098"/>
      <c r="J106" s="1096"/>
      <c r="K106" s="1096"/>
      <c r="L106" s="1096"/>
      <c r="M106" s="1096"/>
      <c r="N106" s="1130"/>
      <c r="O106" s="1131">
        <f>IF(AND(E106="",F106="",G106="",H106=""),0,IFERROR(Z106*AC106,'Hidden Lists and Summaries'!$C$158))</f>
        <v>0</v>
      </c>
      <c r="P106" s="1132" t="s">
        <v>90</v>
      </c>
      <c r="Q106" s="1099"/>
      <c r="Y106" s="1088" t="e">
        <f>VLOOKUP(F106,CO2Equivalence[],2,FALSE)</f>
        <v>#N/A</v>
      </c>
      <c r="Z106" s="1079" t="e">
        <f t="shared" ref="Z106:Z111" si="2">AB106*Y106</f>
        <v>#N/A</v>
      </c>
      <c r="AA106" s="1247" t="e">
        <f>IF(F106='Key Values'!$B$221,VLOOKUP('Ammonia Cracking'!E106,IndustrialProcessEmissions[],3,FALSE),VLOOKUP('Ammonia Cracking'!E106,IndustrialProcessEmissions[],2,FALSE))</f>
        <v>#N/A</v>
      </c>
      <c r="AB106" s="1138" t="e">
        <f>VLOOKUP(H106,massConv[#All], 3, FALSE)*G106</f>
        <v>#N/A</v>
      </c>
      <c r="AC106" s="1248" t="e">
        <f t="shared" si="1"/>
        <v>#N/A</v>
      </c>
      <c r="AD106" s="1079"/>
      <c r="AE106" s="1079"/>
      <c r="AF106" s="1080"/>
      <c r="AG106" s="1079"/>
      <c r="AH106" s="1088"/>
      <c r="AI106" s="1079"/>
      <c r="AJ106" s="1079"/>
      <c r="AK106" s="1079"/>
      <c r="AL106" s="1079"/>
      <c r="AM106" s="1080"/>
    </row>
    <row r="107" spans="2:39" ht="15.65" customHeight="1" x14ac:dyDescent="0.25">
      <c r="B107" s="1095"/>
      <c r="C107" s="1113" t="s">
        <v>307</v>
      </c>
      <c r="D107" s="1096"/>
      <c r="E107" s="989"/>
      <c r="F107" s="990"/>
      <c r="G107" s="398"/>
      <c r="H107" s="399"/>
      <c r="I107" s="1098"/>
      <c r="J107" s="1096"/>
      <c r="K107" s="1096"/>
      <c r="L107" s="1096"/>
      <c r="M107" s="1096"/>
      <c r="N107" s="1130"/>
      <c r="O107" s="1131">
        <f>IF(AND(E107="",F107="",G107="",H107=""),0,IFERROR(Z107*AC107,'Hidden Lists and Summaries'!$C$158))</f>
        <v>0</v>
      </c>
      <c r="P107" s="1132" t="s">
        <v>90</v>
      </c>
      <c r="Q107" s="1099"/>
      <c r="Y107" s="1088" t="e">
        <f>VLOOKUP(F107,CO2Equivalence[],2,FALSE)</f>
        <v>#N/A</v>
      </c>
      <c r="Z107" s="1079" t="e">
        <f t="shared" si="2"/>
        <v>#N/A</v>
      </c>
      <c r="AA107" s="1247" t="e">
        <f>IF(F107='Key Values'!$B$221,VLOOKUP('Ammonia Cracking'!E107,IndustrialProcessEmissions[],3,FALSE),VLOOKUP('Ammonia Cracking'!E107,IndustrialProcessEmissions[],2,FALSE))</f>
        <v>#N/A</v>
      </c>
      <c r="AB107" s="1138" t="e">
        <f>VLOOKUP(H107,massConv[#All], 3, FALSE)*G107</f>
        <v>#N/A</v>
      </c>
      <c r="AC107" s="1248" t="e">
        <f t="shared" si="1"/>
        <v>#N/A</v>
      </c>
      <c r="AD107" s="1079"/>
      <c r="AE107" s="1079"/>
      <c r="AF107" s="1080"/>
      <c r="AG107" s="1079"/>
      <c r="AH107" s="1088"/>
      <c r="AI107" s="1079"/>
      <c r="AJ107" s="1079"/>
      <c r="AK107" s="1079"/>
      <c r="AL107" s="1079"/>
      <c r="AM107" s="1080"/>
    </row>
    <row r="108" spans="2:39" x14ac:dyDescent="0.25">
      <c r="B108" s="1095"/>
      <c r="C108" s="1113" t="s">
        <v>308</v>
      </c>
      <c r="D108" s="1096"/>
      <c r="E108" s="991"/>
      <c r="F108" s="990"/>
      <c r="G108" s="398"/>
      <c r="H108" s="399"/>
      <c r="I108" s="1098"/>
      <c r="J108" s="1096"/>
      <c r="K108" s="1096"/>
      <c r="L108" s="1096"/>
      <c r="M108" s="1096"/>
      <c r="N108" s="1130"/>
      <c r="O108" s="1131">
        <f>IF(AND(E108="",F108="",G108="",H108=""),0,IFERROR(Z108*AC108,'Hidden Lists and Summaries'!$C$158))</f>
        <v>0</v>
      </c>
      <c r="P108" s="1132" t="s">
        <v>90</v>
      </c>
      <c r="Q108" s="1099"/>
      <c r="Y108" s="1088" t="e">
        <f>VLOOKUP(F108,CO2Equivalence[],2,FALSE)</f>
        <v>#N/A</v>
      </c>
      <c r="Z108" s="1079" t="e">
        <f t="shared" si="2"/>
        <v>#N/A</v>
      </c>
      <c r="AA108" s="1247" t="e">
        <f>IF(F108='Key Values'!$B$221,VLOOKUP('Ammonia Cracking'!E108,IndustrialProcessEmissions[],3,FALSE),VLOOKUP('Ammonia Cracking'!E108,IndustrialProcessEmissions[],2,FALSE))</f>
        <v>#N/A</v>
      </c>
      <c r="AB108" s="1138" t="e">
        <f>VLOOKUP(H108,massConv[#All], 3, FALSE)*G108</f>
        <v>#N/A</v>
      </c>
      <c r="AC108" s="1248" t="e">
        <f t="shared" si="1"/>
        <v>#N/A</v>
      </c>
      <c r="AD108" s="1079"/>
      <c r="AE108" s="1079"/>
      <c r="AF108" s="1080"/>
      <c r="AG108" s="1079"/>
      <c r="AH108" s="1088"/>
      <c r="AI108" s="1079"/>
      <c r="AJ108" s="1079"/>
      <c r="AK108" s="1079"/>
      <c r="AL108" s="1079"/>
      <c r="AM108" s="1080"/>
    </row>
    <row r="109" spans="2:39" ht="15.65" customHeight="1" x14ac:dyDescent="0.25">
      <c r="B109" s="1095"/>
      <c r="C109" s="1113" t="s">
        <v>309</v>
      </c>
      <c r="D109" s="1096"/>
      <c r="E109" s="989"/>
      <c r="F109" s="990"/>
      <c r="G109" s="398"/>
      <c r="H109" s="399"/>
      <c r="I109" s="1098"/>
      <c r="J109" s="1096"/>
      <c r="K109" s="1096"/>
      <c r="L109" s="1096"/>
      <c r="M109" s="1096"/>
      <c r="N109" s="1130"/>
      <c r="O109" s="1131">
        <f>IF(AND(E109="",F109="",G109="",H109=""),0,IFERROR(Z109*AC109,'Hidden Lists and Summaries'!$C$158))</f>
        <v>0</v>
      </c>
      <c r="P109" s="1132" t="s">
        <v>90</v>
      </c>
      <c r="Q109" s="1099"/>
      <c r="Y109" s="1088" t="e">
        <f>VLOOKUP(F109,CO2Equivalence[],2,FALSE)</f>
        <v>#N/A</v>
      </c>
      <c r="Z109" s="1079" t="e">
        <f t="shared" si="2"/>
        <v>#N/A</v>
      </c>
      <c r="AA109" s="1247" t="e">
        <f>IF(F109='Key Values'!$B$221,VLOOKUP('Ammonia Cracking'!E109,IndustrialProcessEmissions[],3,FALSE),VLOOKUP('Ammonia Cracking'!E109,IndustrialProcessEmissions[],2,FALSE))</f>
        <v>#N/A</v>
      </c>
      <c r="AB109" s="1138" t="e">
        <f>VLOOKUP(H109,massConv[#All], 3, FALSE)*G109</f>
        <v>#N/A</v>
      </c>
      <c r="AC109" s="1248" t="e">
        <f t="shared" si="1"/>
        <v>#N/A</v>
      </c>
      <c r="AD109" s="1079"/>
      <c r="AE109" s="1079"/>
      <c r="AF109" s="1080"/>
      <c r="AG109" s="1079"/>
      <c r="AH109" s="1088"/>
      <c r="AI109" s="1079"/>
      <c r="AJ109" s="1079"/>
      <c r="AK109" s="1079"/>
      <c r="AL109" s="1079"/>
      <c r="AM109" s="1080"/>
    </row>
    <row r="110" spans="2:39" ht="15.65" customHeight="1" x14ac:dyDescent="0.25">
      <c r="B110" s="1095"/>
      <c r="C110" s="1113" t="s">
        <v>310</v>
      </c>
      <c r="D110" s="1096"/>
      <c r="E110" s="989"/>
      <c r="F110" s="990"/>
      <c r="G110" s="398"/>
      <c r="H110" s="399"/>
      <c r="I110" s="1098"/>
      <c r="J110" s="1096"/>
      <c r="K110" s="1096"/>
      <c r="L110" s="1096"/>
      <c r="M110" s="1096"/>
      <c r="N110" s="1130"/>
      <c r="O110" s="1131">
        <f>IF(AND(E110="",F110="",G110="",H110=""),0,IFERROR(Z110*AC110,'Hidden Lists and Summaries'!$C$158))</f>
        <v>0</v>
      </c>
      <c r="P110" s="1132" t="s">
        <v>90</v>
      </c>
      <c r="Q110" s="1099"/>
      <c r="Y110" s="1088" t="e">
        <f>VLOOKUP(F110,CO2Equivalence[],2,FALSE)</f>
        <v>#N/A</v>
      </c>
      <c r="Z110" s="1079" t="e">
        <f t="shared" si="2"/>
        <v>#N/A</v>
      </c>
      <c r="AA110" s="1247" t="e">
        <f>IF(F110='Key Values'!$B$221,VLOOKUP('Ammonia Cracking'!E110,IndustrialProcessEmissions[],3,FALSE),VLOOKUP('Ammonia Cracking'!E110,IndustrialProcessEmissions[],2,FALSE))</f>
        <v>#N/A</v>
      </c>
      <c r="AB110" s="1138" t="e">
        <f>VLOOKUP(H110,massConv[#All], 3, FALSE)*G110</f>
        <v>#N/A</v>
      </c>
      <c r="AC110" s="1248" t="e">
        <f t="shared" si="1"/>
        <v>#N/A</v>
      </c>
      <c r="AD110" s="1079"/>
      <c r="AE110" s="1079"/>
      <c r="AF110" s="1080"/>
      <c r="AG110" s="1079"/>
      <c r="AH110" s="1088"/>
      <c r="AI110" s="1079"/>
      <c r="AJ110" s="1079"/>
      <c r="AK110" s="1079"/>
      <c r="AL110" s="1079"/>
      <c r="AM110" s="1080"/>
    </row>
    <row r="111" spans="2:39" ht="15.65" customHeight="1" x14ac:dyDescent="0.25">
      <c r="B111" s="1095"/>
      <c r="C111" s="1113" t="s">
        <v>311</v>
      </c>
      <c r="D111" s="1096"/>
      <c r="E111" s="992"/>
      <c r="F111" s="993"/>
      <c r="G111" s="359"/>
      <c r="H111" s="400"/>
      <c r="I111" s="1098"/>
      <c r="J111" s="1096"/>
      <c r="K111" s="1096"/>
      <c r="L111" s="1096"/>
      <c r="M111" s="1096"/>
      <c r="N111" s="1130"/>
      <c r="O111" s="1131">
        <f>IF(AND(E111="",F111="",G111="",H111=""),0,IFERROR(Z111*AC111,'Hidden Lists and Summaries'!$C$158))</f>
        <v>0</v>
      </c>
      <c r="P111" s="1132" t="s">
        <v>90</v>
      </c>
      <c r="Q111" s="1099"/>
      <c r="Y111" s="1197" t="e">
        <f>VLOOKUP(F111,CO2Equivalence[],2,FALSE)</f>
        <v>#N/A</v>
      </c>
      <c r="Z111" s="1142" t="e">
        <f t="shared" si="2"/>
        <v>#N/A</v>
      </c>
      <c r="AA111" s="1249" t="e">
        <f>IF(F111='Key Values'!$B$221,VLOOKUP('Ammonia Cracking'!E111,IndustrialProcessEmissions[],3,FALSE),VLOOKUP('Ammonia Cracking'!E111,IndustrialProcessEmissions[],2,FALSE))</f>
        <v>#N/A</v>
      </c>
      <c r="AB111" s="1141" t="e">
        <f>VLOOKUP(H111,massConv[#All], 3, FALSE)*G111</f>
        <v>#N/A</v>
      </c>
      <c r="AC111" s="1250" t="e">
        <f t="shared" si="1"/>
        <v>#N/A</v>
      </c>
      <c r="AD111" s="1079"/>
      <c r="AE111" s="1079"/>
      <c r="AF111" s="1080"/>
      <c r="AG111" s="1079"/>
      <c r="AH111" s="1088"/>
      <c r="AI111" s="1079"/>
      <c r="AJ111" s="1079"/>
      <c r="AK111" s="1079"/>
      <c r="AL111" s="1079"/>
      <c r="AM111" s="1080"/>
    </row>
    <row r="112" spans="2:39" ht="15.65" customHeight="1" x14ac:dyDescent="0.25">
      <c r="B112" s="1105"/>
      <c r="C112" s="1106"/>
      <c r="D112" s="1106"/>
      <c r="E112" s="1106"/>
      <c r="F112" s="1106"/>
      <c r="G112" s="1106"/>
      <c r="H112" s="1115"/>
      <c r="I112" s="1115"/>
      <c r="J112" s="1106"/>
      <c r="K112" s="1106"/>
      <c r="L112" s="1106"/>
      <c r="M112" s="1106"/>
      <c r="N112" s="1144" t="s">
        <v>120</v>
      </c>
      <c r="O112" s="1145">
        <f>SUM(O105:O111)</f>
        <v>0</v>
      </c>
      <c r="P112" s="1146" t="s">
        <v>90</v>
      </c>
      <c r="Q112" s="1107"/>
      <c r="Y112" s="1088"/>
      <c r="Z112" s="1079"/>
      <c r="AA112" s="1079"/>
      <c r="AB112" s="1079"/>
      <c r="AC112" s="1079"/>
      <c r="AD112" s="1079"/>
      <c r="AE112" s="1079"/>
      <c r="AF112" s="1080"/>
      <c r="AG112" s="1079"/>
      <c r="AH112" s="1088"/>
      <c r="AI112" s="1079">
        <f>O112</f>
        <v>0</v>
      </c>
      <c r="AJ112" s="1079"/>
      <c r="AK112" s="1079" t="str">
        <f>'Hidden Lists and Summaries'!$B$9</f>
        <v>Industrial Process</v>
      </c>
      <c r="AL112" s="1079"/>
      <c r="AM112" s="1080"/>
    </row>
    <row r="113" spans="2:39" ht="15.65" customHeight="1" x14ac:dyDescent="0.25">
      <c r="B113" s="1118"/>
      <c r="C113" s="1118"/>
      <c r="D113" s="1118"/>
      <c r="E113" s="1118"/>
      <c r="F113" s="1118"/>
      <c r="G113" s="1118"/>
      <c r="H113" s="1118"/>
      <c r="I113" s="1118"/>
      <c r="J113" s="1118"/>
      <c r="K113" s="1118"/>
      <c r="L113" s="1118"/>
      <c r="M113" s="1118"/>
      <c r="N113" s="1118"/>
      <c r="O113" s="1118"/>
      <c r="P113" s="1118"/>
      <c r="Q113" s="1118"/>
      <c r="Y113" s="1088"/>
      <c r="Z113" s="1079"/>
      <c r="AA113" s="1079"/>
      <c r="AB113" s="1079"/>
      <c r="AC113" s="1079"/>
      <c r="AD113" s="1079"/>
      <c r="AE113" s="1079"/>
      <c r="AF113" s="1080"/>
      <c r="AG113" s="1080"/>
      <c r="AH113" s="1088"/>
      <c r="AI113" s="1079"/>
      <c r="AJ113" s="1079"/>
      <c r="AK113" s="1079"/>
      <c r="AL113" s="1079"/>
      <c r="AM113" s="1080"/>
    </row>
    <row r="114" spans="2:39" ht="15.65" customHeight="1" x14ac:dyDescent="0.25">
      <c r="B114" s="1081"/>
      <c r="C114" s="1082"/>
      <c r="D114" s="1082"/>
      <c r="E114" s="1082"/>
      <c r="F114" s="1082"/>
      <c r="G114" s="1082"/>
      <c r="H114" s="1082"/>
      <c r="I114" s="1082"/>
      <c r="J114" s="1082"/>
      <c r="K114" s="1082"/>
      <c r="L114" s="1082"/>
      <c r="M114" s="1082"/>
      <c r="N114" s="1082"/>
      <c r="O114" s="1082"/>
      <c r="P114" s="1082"/>
      <c r="Q114" s="1083"/>
      <c r="Y114" s="1088"/>
      <c r="Z114" s="1079"/>
      <c r="AA114" s="1079"/>
      <c r="AB114" s="1079"/>
      <c r="AC114" s="1079"/>
      <c r="AD114" s="1079"/>
      <c r="AE114" s="1079"/>
      <c r="AF114" s="1080"/>
      <c r="AG114" s="1080"/>
      <c r="AH114" s="1088"/>
      <c r="AI114" s="1079"/>
      <c r="AJ114" s="1079"/>
      <c r="AK114" s="1079"/>
      <c r="AL114" s="1079"/>
      <c r="AM114" s="1080"/>
    </row>
    <row r="115" spans="2:39" ht="15.65" customHeight="1" x14ac:dyDescent="0.25">
      <c r="B115" s="1084"/>
      <c r="C115" s="1109" t="s">
        <v>554</v>
      </c>
      <c r="D115" s="1086"/>
      <c r="E115" s="1086"/>
      <c r="F115" s="1086"/>
      <c r="G115" s="1086"/>
      <c r="H115" s="1086"/>
      <c r="I115" s="1086"/>
      <c r="J115" s="1086"/>
      <c r="K115" s="1086"/>
      <c r="L115" s="1086"/>
      <c r="M115" s="1086"/>
      <c r="N115" s="1086"/>
      <c r="O115" s="1086"/>
      <c r="P115" s="1086"/>
      <c r="Q115" s="1087"/>
      <c r="Y115" s="1121" t="s">
        <v>600</v>
      </c>
      <c r="Z115" s="1079"/>
      <c r="AA115" s="1079"/>
      <c r="AB115" s="1079"/>
      <c r="AC115" s="1079"/>
      <c r="AD115" s="1079"/>
      <c r="AE115" s="1079"/>
      <c r="AF115" s="1080"/>
      <c r="AG115" s="1080"/>
      <c r="AH115" s="1088"/>
      <c r="AI115" s="1079"/>
      <c r="AJ115" s="1079"/>
      <c r="AK115" s="1079"/>
      <c r="AL115" s="1079"/>
      <c r="AM115" s="1080"/>
    </row>
    <row r="116" spans="2:39" ht="15.65" customHeight="1" x14ac:dyDescent="0.25">
      <c r="B116" s="1089"/>
      <c r="C116" s="1090"/>
      <c r="D116" s="1090"/>
      <c r="E116" s="1091" t="s">
        <v>555</v>
      </c>
      <c r="F116" s="1091" t="s">
        <v>81</v>
      </c>
      <c r="G116" s="1093"/>
      <c r="H116" s="1111"/>
      <c r="I116" s="1111"/>
      <c r="J116" s="1093"/>
      <c r="K116" s="1093"/>
      <c r="L116" s="1093"/>
      <c r="M116" s="1093"/>
      <c r="N116" s="1093"/>
      <c r="O116" s="1091" t="s">
        <v>556</v>
      </c>
      <c r="P116" s="1093"/>
      <c r="Q116" s="1112"/>
      <c r="Y116" s="1355"/>
      <c r="Z116" s="1079"/>
      <c r="AA116" s="1079"/>
      <c r="AB116" s="1079"/>
      <c r="AC116" s="1079"/>
      <c r="AD116" s="1079"/>
      <c r="AE116" s="1079"/>
      <c r="AF116" s="1080"/>
      <c r="AG116" s="1080"/>
      <c r="AH116" s="1088"/>
      <c r="AI116" s="1079"/>
      <c r="AJ116" s="1079"/>
      <c r="AK116" s="1079"/>
      <c r="AL116" s="1079"/>
      <c r="AM116" s="1080"/>
    </row>
    <row r="117" spans="2:39" ht="15.65" customHeight="1" x14ac:dyDescent="0.25">
      <c r="B117" s="1095"/>
      <c r="C117" s="1096"/>
      <c r="D117" s="1096"/>
      <c r="E117" s="1096"/>
      <c r="F117" s="1096"/>
      <c r="G117" s="1096"/>
      <c r="H117" s="1098"/>
      <c r="I117" s="1098"/>
      <c r="J117" s="1096"/>
      <c r="K117" s="1096"/>
      <c r="L117" s="1096"/>
      <c r="M117" s="1096"/>
      <c r="N117" s="1096"/>
      <c r="O117" s="1096"/>
      <c r="P117" s="1096"/>
      <c r="Q117" s="1099"/>
      <c r="Y117" s="1356" t="s">
        <v>128</v>
      </c>
      <c r="Z117" s="1079"/>
      <c r="AA117" s="1079"/>
      <c r="AB117" s="1079"/>
      <c r="AC117" s="1079"/>
      <c r="AD117" s="1079"/>
      <c r="AE117" s="1079"/>
      <c r="AF117" s="1080"/>
      <c r="AG117" s="1080"/>
      <c r="AH117" s="1088"/>
      <c r="AI117" s="1079"/>
      <c r="AJ117" s="1079"/>
      <c r="AK117" s="1079"/>
      <c r="AL117" s="1079"/>
      <c r="AM117" s="1080"/>
    </row>
    <row r="118" spans="2:39" ht="15.65" customHeight="1" x14ac:dyDescent="0.25">
      <c r="B118" s="1095"/>
      <c r="C118" s="1096" t="s">
        <v>557</v>
      </c>
      <c r="D118" s="1096"/>
      <c r="E118" s="433"/>
      <c r="F118" s="1260" t="s">
        <v>183</v>
      </c>
      <c r="G118" s="1096"/>
      <c r="H118" s="1098"/>
      <c r="I118" s="1098"/>
      <c r="J118" s="1096"/>
      <c r="K118" s="1096"/>
      <c r="L118" s="1096"/>
      <c r="M118" s="1096"/>
      <c r="N118" s="1106"/>
      <c r="O118" s="1096"/>
      <c r="P118" s="1096"/>
      <c r="Q118" s="1099"/>
      <c r="Y118" s="1261">
        <f>VLOOKUP(F118,massConv[#All], 3, FALSE)*E118</f>
        <v>0</v>
      </c>
      <c r="Z118" s="1079"/>
      <c r="AA118" s="1079"/>
      <c r="AB118" s="1079"/>
      <c r="AC118" s="1079"/>
      <c r="AD118" s="1079"/>
      <c r="AE118" s="1079"/>
      <c r="AF118" s="1080"/>
      <c r="AG118" s="1080"/>
      <c r="AH118" s="1088"/>
      <c r="AI118" s="1079"/>
      <c r="AJ118" s="1079"/>
      <c r="AK118" s="1079"/>
      <c r="AL118" s="1079"/>
      <c r="AM118" s="1080"/>
    </row>
    <row r="119" spans="2:39" ht="15.65" customHeight="1" x14ac:dyDescent="0.25">
      <c r="B119" s="1095"/>
      <c r="C119" s="1096" t="s">
        <v>601</v>
      </c>
      <c r="D119" s="1096"/>
      <c r="E119" s="448"/>
      <c r="F119" s="1262" t="s">
        <v>183</v>
      </c>
      <c r="G119" s="1096"/>
      <c r="H119" s="1098"/>
      <c r="I119" s="1098"/>
      <c r="J119" s="1096"/>
      <c r="K119" s="1096"/>
      <c r="L119" s="1096"/>
      <c r="M119" s="1096"/>
      <c r="N119" s="1182" t="s">
        <v>325</v>
      </c>
      <c r="O119" s="1183">
        <f>-Y119</f>
        <v>0</v>
      </c>
      <c r="P119" s="1183" t="s">
        <v>90</v>
      </c>
      <c r="Q119" s="1277"/>
      <c r="Y119" s="1263">
        <f>IF(OR(Y118="",Y118=0),0,VLOOKUP(F119,massConv[#All], 3, FALSE)*E119)</f>
        <v>0</v>
      </c>
      <c r="Z119" s="1079"/>
      <c r="AA119" s="1079"/>
      <c r="AB119" s="1079"/>
      <c r="AC119" s="1079"/>
      <c r="AD119" s="1079"/>
      <c r="AE119" s="1079"/>
      <c r="AF119" s="1080"/>
      <c r="AG119" s="1080"/>
      <c r="AH119" s="1088"/>
      <c r="AI119" s="1079"/>
      <c r="AJ119" s="1079"/>
      <c r="AK119" s="1079"/>
      <c r="AL119" s="1079"/>
      <c r="AM119" s="1080"/>
    </row>
    <row r="120" spans="2:39" ht="15.65" customHeight="1" x14ac:dyDescent="0.25">
      <c r="B120" s="1095"/>
      <c r="C120" s="1113" t="s">
        <v>560</v>
      </c>
      <c r="D120" s="1096"/>
      <c r="E120" s="428"/>
      <c r="F120" s="1357" t="s">
        <v>183</v>
      </c>
      <c r="G120" s="1096"/>
      <c r="H120" s="1098"/>
      <c r="I120" s="1098"/>
      <c r="J120" s="1096"/>
      <c r="K120" s="1096"/>
      <c r="L120" s="1096"/>
      <c r="M120" s="1096"/>
      <c r="N120" s="1130" t="s">
        <v>373</v>
      </c>
      <c r="O120" s="1131">
        <f>Y120</f>
        <v>0</v>
      </c>
      <c r="P120" s="1132" t="s">
        <v>90</v>
      </c>
      <c r="Q120" s="1099"/>
      <c r="Y120" s="1263">
        <f>IF(OR(Y118="",Y118=0),0,VLOOKUP(F120,massConv[#All], 3, FALSE)*E120)</f>
        <v>0</v>
      </c>
      <c r="Z120" s="1079"/>
      <c r="AA120" s="1079"/>
      <c r="AB120" s="1079"/>
      <c r="AC120" s="1079"/>
      <c r="AD120" s="1079"/>
      <c r="AE120" s="1079"/>
      <c r="AF120" s="1080"/>
      <c r="AG120" s="1080"/>
      <c r="AH120" s="1088"/>
      <c r="AI120" s="1079"/>
      <c r="AJ120" s="1079"/>
      <c r="AK120" s="1079"/>
      <c r="AL120" s="1079"/>
      <c r="AM120" s="1080"/>
    </row>
    <row r="121" spans="2:39" ht="15.65" customHeight="1" x14ac:dyDescent="0.25">
      <c r="B121" s="1095"/>
      <c r="C121" s="1113" t="s">
        <v>561</v>
      </c>
      <c r="D121" s="1096"/>
      <c r="E121" s="384"/>
      <c r="F121" s="1264" t="s">
        <v>183</v>
      </c>
      <c r="G121" s="1096"/>
      <c r="H121" s="1098"/>
      <c r="I121" s="1098"/>
      <c r="J121" s="1096"/>
      <c r="K121" s="1096"/>
      <c r="L121" s="1096"/>
      <c r="M121" s="1096"/>
      <c r="N121" s="1130" t="s">
        <v>373</v>
      </c>
      <c r="O121" s="1131">
        <f>Y121</f>
        <v>0</v>
      </c>
      <c r="P121" s="1132" t="s">
        <v>90</v>
      </c>
      <c r="Q121" s="1099"/>
      <c r="Y121" s="1263">
        <f>IF(OR(Y118="",Y118=0),0,VLOOKUP(F121,massConv[#All], 3, FALSE)*E121)</f>
        <v>0</v>
      </c>
      <c r="Z121" s="1079"/>
      <c r="AA121" s="1079"/>
      <c r="AB121" s="1079"/>
      <c r="AC121" s="1079"/>
      <c r="AD121" s="1079"/>
      <c r="AE121" s="1079"/>
      <c r="AF121" s="1080"/>
      <c r="AG121" s="1080"/>
      <c r="AH121" s="1088"/>
      <c r="AI121" s="1079"/>
      <c r="AJ121" s="1079"/>
      <c r="AK121" s="1079"/>
      <c r="AL121" s="1079"/>
      <c r="AM121" s="1080"/>
    </row>
    <row r="122" spans="2:39" ht="15.65" customHeight="1" x14ac:dyDescent="0.25">
      <c r="B122" s="1095"/>
      <c r="C122" s="1113" t="s">
        <v>563</v>
      </c>
      <c r="D122" s="1096"/>
      <c r="E122" s="384"/>
      <c r="F122" s="1264" t="s">
        <v>183</v>
      </c>
      <c r="G122" s="1096"/>
      <c r="H122" s="1098"/>
      <c r="I122" s="1098"/>
      <c r="J122" s="1096"/>
      <c r="K122" s="1096"/>
      <c r="L122" s="1096"/>
      <c r="M122" s="1096"/>
      <c r="N122" s="1130" t="s">
        <v>903</v>
      </c>
      <c r="O122" s="1131">
        <f>Y122</f>
        <v>0</v>
      </c>
      <c r="P122" s="1132" t="s">
        <v>90</v>
      </c>
      <c r="Q122" s="1099"/>
      <c r="Y122" s="1263">
        <f>IF(OR(Y118="",Y118=0),0,VLOOKUP(F122,massConv[#All], 3, FALSE)*E122)</f>
        <v>0</v>
      </c>
      <c r="Z122" s="1079"/>
      <c r="AA122" s="1079"/>
      <c r="AB122" s="1079"/>
      <c r="AC122" s="1079"/>
      <c r="AD122" s="1079"/>
      <c r="AE122" s="1079"/>
      <c r="AF122" s="1080"/>
      <c r="AG122" s="1080"/>
      <c r="AH122" s="1088"/>
      <c r="AI122" s="1079"/>
      <c r="AJ122" s="1079"/>
      <c r="AK122" s="1079"/>
      <c r="AL122" s="1079"/>
      <c r="AM122" s="1080"/>
    </row>
    <row r="123" spans="2:39" ht="15.65" customHeight="1" x14ac:dyDescent="0.25">
      <c r="B123" s="1095"/>
      <c r="C123" s="1113" t="s">
        <v>564</v>
      </c>
      <c r="D123" s="1096"/>
      <c r="E123" s="390"/>
      <c r="F123" s="1265" t="s">
        <v>183</v>
      </c>
      <c r="G123" s="1096"/>
      <c r="H123" s="1098"/>
      <c r="I123" s="1098"/>
      <c r="J123" s="1096"/>
      <c r="K123" s="1096"/>
      <c r="L123" s="1096"/>
      <c r="M123" s="1096"/>
      <c r="N123" s="1130" t="s">
        <v>818</v>
      </c>
      <c r="O123" s="1131">
        <f>-Y123</f>
        <v>0</v>
      </c>
      <c r="P123" s="1132" t="s">
        <v>90</v>
      </c>
      <c r="Q123" s="1099"/>
      <c r="Y123" s="1266">
        <f>IF(OR(Y118="",Y118=0),0,VLOOKUP(F123,massConv[#All], 3, FALSE)*E123)</f>
        <v>0</v>
      </c>
      <c r="Z123" s="1079"/>
      <c r="AA123" s="1079"/>
      <c r="AB123" s="1079"/>
      <c r="AC123" s="1079"/>
      <c r="AD123" s="1079"/>
      <c r="AE123" s="1079"/>
      <c r="AF123" s="1080"/>
      <c r="AG123" s="1080"/>
      <c r="AH123" s="1088"/>
      <c r="AI123" s="1079"/>
      <c r="AJ123" s="1079"/>
      <c r="AK123" s="1079"/>
      <c r="AL123" s="1079"/>
      <c r="AM123" s="1080"/>
    </row>
    <row r="124" spans="2:39" ht="15.65" customHeight="1" x14ac:dyDescent="0.25">
      <c r="B124" s="1105"/>
      <c r="C124" s="1106"/>
      <c r="D124" s="1106"/>
      <c r="E124" s="1106"/>
      <c r="F124" s="1106"/>
      <c r="G124" s="1106"/>
      <c r="H124" s="1115"/>
      <c r="I124" s="1115"/>
      <c r="J124" s="1106"/>
      <c r="K124" s="1106"/>
      <c r="L124" s="1106"/>
      <c r="M124" s="1106"/>
      <c r="N124" s="1144" t="s">
        <v>120</v>
      </c>
      <c r="O124" s="1145">
        <f>SUM(O120:O122)</f>
        <v>0</v>
      </c>
      <c r="P124" s="1146" t="s">
        <v>90</v>
      </c>
      <c r="Q124" s="1107"/>
      <c r="Y124" s="1088"/>
      <c r="Z124" s="1079"/>
      <c r="AA124" s="1079"/>
      <c r="AB124" s="1079"/>
      <c r="AC124" s="1079"/>
      <c r="AD124" s="1079"/>
      <c r="AE124" s="1079"/>
      <c r="AF124" s="1080"/>
      <c r="AG124" s="1080"/>
      <c r="AH124" s="1088"/>
      <c r="AI124" s="1079"/>
      <c r="AJ124" s="1079"/>
      <c r="AK124" s="1079"/>
      <c r="AL124" s="1079"/>
      <c r="AM124" s="1080"/>
    </row>
    <row r="125" spans="2:39" s="1164" customFormat="1" ht="15.65" customHeight="1" x14ac:dyDescent="0.25">
      <c r="B125" s="1108"/>
      <c r="C125" s="1108"/>
      <c r="D125" s="1108"/>
      <c r="E125" s="1267"/>
      <c r="F125" s="1267"/>
      <c r="G125" s="1108"/>
      <c r="H125" s="1268"/>
      <c r="I125" s="1102"/>
      <c r="J125" s="1108"/>
      <c r="K125" s="1267"/>
      <c r="L125" s="1108"/>
      <c r="M125" s="1108"/>
      <c r="N125" s="1163"/>
      <c r="O125" s="1108"/>
      <c r="P125" s="1108"/>
      <c r="Q125" s="1108"/>
      <c r="Y125" s="1165"/>
      <c r="Z125" s="1102"/>
      <c r="AA125" s="1102"/>
      <c r="AB125" s="1102"/>
      <c r="AC125" s="1102"/>
      <c r="AD125" s="1102"/>
      <c r="AE125" s="1102"/>
      <c r="AF125" s="1166"/>
      <c r="AG125" s="1166"/>
      <c r="AH125" s="1165"/>
      <c r="AI125" s="1102"/>
      <c r="AJ125" s="1102"/>
      <c r="AK125" s="1102"/>
      <c r="AL125" s="1102"/>
      <c r="AM125" s="1166"/>
    </row>
    <row r="126" spans="2:39" s="1164" customFormat="1" ht="15.65" customHeight="1" x14ac:dyDescent="0.25">
      <c r="B126" s="1207"/>
      <c r="C126" s="1208"/>
      <c r="D126" s="1208"/>
      <c r="E126" s="1208"/>
      <c r="F126" s="1208"/>
      <c r="G126" s="1208"/>
      <c r="H126" s="1269"/>
      <c r="I126" s="1269"/>
      <c r="J126" s="1208"/>
      <c r="K126" s="1208"/>
      <c r="L126" s="1208"/>
      <c r="M126" s="1208"/>
      <c r="N126" s="1270"/>
      <c r="O126" s="1208"/>
      <c r="P126" s="1208"/>
      <c r="Q126" s="1209"/>
      <c r="Y126" s="1165"/>
      <c r="Z126" s="1102"/>
      <c r="AA126" s="1102"/>
      <c r="AB126" s="1102"/>
      <c r="AC126" s="1102"/>
      <c r="AD126" s="1102"/>
      <c r="AE126" s="1102"/>
      <c r="AF126" s="1166"/>
      <c r="AG126" s="1102"/>
      <c r="AH126" s="1165"/>
      <c r="AI126" s="1102"/>
      <c r="AJ126" s="1102"/>
      <c r="AK126" s="1102"/>
      <c r="AL126" s="1102"/>
      <c r="AM126" s="1166"/>
    </row>
    <row r="127" spans="2:39" s="1164" customFormat="1" ht="15.65" customHeight="1" x14ac:dyDescent="0.25">
      <c r="B127" s="1210"/>
      <c r="C127" s="1211" t="s">
        <v>312</v>
      </c>
      <c r="D127" s="1212"/>
      <c r="E127" s="1212"/>
      <c r="F127" s="1212"/>
      <c r="G127" s="1212"/>
      <c r="H127" s="1252"/>
      <c r="I127" s="1252"/>
      <c r="J127" s="1212"/>
      <c r="K127" s="1212"/>
      <c r="L127" s="1212"/>
      <c r="M127" s="1212"/>
      <c r="N127" s="1271"/>
      <c r="O127" s="1212"/>
      <c r="P127" s="1212"/>
      <c r="Q127" s="1213"/>
      <c r="Y127" s="1121" t="s">
        <v>94</v>
      </c>
      <c r="Z127" s="1102"/>
      <c r="AA127" s="1102"/>
      <c r="AB127" s="1102"/>
      <c r="AC127" s="1102"/>
      <c r="AD127" s="1102"/>
      <c r="AE127" s="1102"/>
      <c r="AF127" s="1166"/>
      <c r="AG127" s="1102"/>
      <c r="AH127" s="1165"/>
      <c r="AI127" s="1102"/>
      <c r="AJ127" s="1102"/>
      <c r="AK127" s="1102"/>
      <c r="AL127" s="1102"/>
      <c r="AM127" s="1166"/>
    </row>
    <row r="128" spans="2:39" s="1164" customFormat="1" ht="15.65" customHeight="1" x14ac:dyDescent="0.25">
      <c r="B128" s="1214"/>
      <c r="C128" s="1215"/>
      <c r="D128" s="1215"/>
      <c r="E128" s="1111" t="s">
        <v>313</v>
      </c>
      <c r="F128" s="1091" t="s">
        <v>314</v>
      </c>
      <c r="G128" s="1091" t="s">
        <v>315</v>
      </c>
      <c r="H128" s="1091" t="s">
        <v>316</v>
      </c>
      <c r="I128" s="1092"/>
      <c r="J128" s="1215"/>
      <c r="K128" s="1215"/>
      <c r="L128" s="1215"/>
      <c r="M128" s="1215"/>
      <c r="N128" s="1272"/>
      <c r="O128" s="1091" t="s">
        <v>82</v>
      </c>
      <c r="P128" s="1215"/>
      <c r="Q128" s="1216"/>
      <c r="Y128" s="1121" t="s">
        <v>128</v>
      </c>
      <c r="Z128" s="1102"/>
      <c r="AA128" s="1102"/>
      <c r="AB128" s="1102"/>
      <c r="AC128" s="1102"/>
      <c r="AD128" s="1102"/>
      <c r="AE128" s="1102"/>
      <c r="AF128" s="1166"/>
      <c r="AG128" s="1102"/>
      <c r="AH128" s="1165"/>
      <c r="AI128" s="1102"/>
      <c r="AJ128" s="1102"/>
      <c r="AK128" s="1102"/>
      <c r="AL128" s="1102"/>
      <c r="AM128" s="1166"/>
    </row>
    <row r="129" spans="2:39" s="1164" customFormat="1" ht="15.65" customHeight="1" x14ac:dyDescent="0.25">
      <c r="B129" s="1192"/>
      <c r="C129" s="1193"/>
      <c r="D129" s="1193"/>
      <c r="E129" s="1193"/>
      <c r="F129" s="1193"/>
      <c r="G129" s="1193"/>
      <c r="H129" s="1193"/>
      <c r="I129" s="1194"/>
      <c r="J129" s="1193"/>
      <c r="K129" s="1193"/>
      <c r="L129" s="1193"/>
      <c r="M129" s="1193"/>
      <c r="N129" s="1273"/>
      <c r="O129" s="1193"/>
      <c r="P129" s="1097"/>
      <c r="Q129" s="1195"/>
      <c r="Y129" s="1274"/>
      <c r="Z129" s="1102"/>
      <c r="AA129" s="1102"/>
      <c r="AB129" s="1102"/>
      <c r="AC129" s="1102"/>
      <c r="AD129" s="1102"/>
      <c r="AE129" s="1102"/>
      <c r="AF129" s="1166"/>
      <c r="AG129" s="1102"/>
      <c r="AH129" s="1165"/>
      <c r="AI129" s="1102"/>
      <c r="AJ129" s="1102"/>
      <c r="AK129" s="1102"/>
      <c r="AL129" s="1102"/>
      <c r="AM129" s="1166"/>
    </row>
    <row r="130" spans="2:39" s="1164" customFormat="1" ht="15.65" customHeight="1" x14ac:dyDescent="0.25">
      <c r="B130" s="1095"/>
      <c r="C130" s="1101" t="s">
        <v>317</v>
      </c>
      <c r="D130" s="1099"/>
      <c r="E130" s="401"/>
      <c r="F130" s="362"/>
      <c r="G130" s="362"/>
      <c r="H130" s="402"/>
      <c r="I130" s="1275"/>
      <c r="J130" s="1101"/>
      <c r="K130" s="1101"/>
      <c r="L130" s="1101"/>
      <c r="M130" s="1099"/>
      <c r="N130" s="1276" t="str">
        <f>IF(F130="","",F130)</f>
        <v/>
      </c>
      <c r="O130" s="1183">
        <f>IF(AND(F130="",G130="",H130=""),0,IFERROR(Y130,'Hidden Lists and Summaries'!$C$158))</f>
        <v>0</v>
      </c>
      <c r="P130" s="1131" t="s">
        <v>90</v>
      </c>
      <c r="Q130" s="1277"/>
      <c r="Y130" s="1167" t="e">
        <f>G130*VLOOKUP(H130,massConv[#All],3,FALSE)</f>
        <v>#N/A</v>
      </c>
      <c r="Z130" s="1102"/>
      <c r="AA130" s="1102"/>
      <c r="AB130" s="1102"/>
      <c r="AC130" s="1102"/>
      <c r="AD130" s="1102"/>
      <c r="AE130" s="1102"/>
      <c r="AF130" s="1166"/>
      <c r="AG130" s="1102"/>
      <c r="AH130" s="1165"/>
      <c r="AI130" s="1102">
        <f>O130</f>
        <v>0</v>
      </c>
      <c r="AJ130" s="1102"/>
      <c r="AK130" s="1102">
        <f>F130</f>
        <v>0</v>
      </c>
      <c r="AL130" s="1102"/>
      <c r="AM130" s="1166" t="str">
        <f>IF(AI130='Hidden Lists and Summaries'!$B$5,"Other","")</f>
        <v/>
      </c>
    </row>
    <row r="131" spans="2:39" s="1164" customFormat="1" ht="15.65" customHeight="1" x14ac:dyDescent="0.25">
      <c r="B131" s="1095"/>
      <c r="C131" s="1101" t="s">
        <v>318</v>
      </c>
      <c r="D131" s="1099"/>
      <c r="E131" s="403"/>
      <c r="F131" s="366"/>
      <c r="G131" s="404"/>
      <c r="H131" s="405"/>
      <c r="I131" s="1275"/>
      <c r="J131" s="1101"/>
      <c r="K131" s="1101"/>
      <c r="L131" s="1101"/>
      <c r="M131" s="1101"/>
      <c r="N131" s="1278" t="str">
        <f t="shared" ref="N131:N133" si="3">IF(F131="","",F131)</f>
        <v/>
      </c>
      <c r="O131" s="1131">
        <f>IF(AND(F131="",G131="",H131=""),0,IFERROR(Y131,'Hidden Lists and Summaries'!$C$158))</f>
        <v>0</v>
      </c>
      <c r="P131" s="1131" t="s">
        <v>90</v>
      </c>
      <c r="Q131" s="1277"/>
      <c r="Y131" s="1167" t="e">
        <f>G131*VLOOKUP(H131,massConv[#All],3,FALSE)</f>
        <v>#N/A</v>
      </c>
      <c r="Z131" s="1102"/>
      <c r="AA131" s="1102"/>
      <c r="AB131" s="1102"/>
      <c r="AC131" s="1102"/>
      <c r="AD131" s="1102"/>
      <c r="AE131" s="1102"/>
      <c r="AF131" s="1166"/>
      <c r="AG131" s="1102"/>
      <c r="AH131" s="1165"/>
      <c r="AI131" s="1102">
        <f>O131</f>
        <v>0</v>
      </c>
      <c r="AJ131" s="1102"/>
      <c r="AK131" s="1102">
        <f>F131</f>
        <v>0</v>
      </c>
      <c r="AL131" s="1102"/>
      <c r="AM131" s="1166" t="str">
        <f>IF(AI131='Hidden Lists and Summaries'!$B$5,"Other","")</f>
        <v/>
      </c>
    </row>
    <row r="132" spans="2:39" s="1164" customFormat="1" ht="15.65" customHeight="1" x14ac:dyDescent="0.25">
      <c r="B132" s="1095"/>
      <c r="C132" s="1101" t="s">
        <v>319</v>
      </c>
      <c r="D132" s="1101"/>
      <c r="E132" s="368"/>
      <c r="F132" s="366"/>
      <c r="G132" s="366"/>
      <c r="H132" s="406"/>
      <c r="I132" s="1275"/>
      <c r="J132" s="1101"/>
      <c r="K132" s="1101"/>
      <c r="L132" s="1101"/>
      <c r="M132" s="1099"/>
      <c r="N132" s="1279" t="str">
        <f t="shared" si="3"/>
        <v/>
      </c>
      <c r="O132" s="1131">
        <f>IF(AND(F132="",G132="",H132=""),0,IFERROR(Y132,'Hidden Lists and Summaries'!$C$158))</f>
        <v>0</v>
      </c>
      <c r="P132" s="1131" t="s">
        <v>90</v>
      </c>
      <c r="Q132" s="1277"/>
      <c r="Y132" s="1167" t="e">
        <f>G132*VLOOKUP(H132,massConv[#All],3,FALSE)</f>
        <v>#N/A</v>
      </c>
      <c r="Z132" s="1102"/>
      <c r="AA132" s="1102"/>
      <c r="AB132" s="1102"/>
      <c r="AC132" s="1102"/>
      <c r="AD132" s="1102"/>
      <c r="AE132" s="1102"/>
      <c r="AF132" s="1166"/>
      <c r="AG132" s="1102"/>
      <c r="AH132" s="1165"/>
      <c r="AI132" s="1102">
        <f>O132</f>
        <v>0</v>
      </c>
      <c r="AJ132" s="1102"/>
      <c r="AK132" s="1102">
        <f>F132</f>
        <v>0</v>
      </c>
      <c r="AL132" s="1102"/>
      <c r="AM132" s="1166" t="str">
        <f>IF(AI132='Hidden Lists and Summaries'!$B$5,"Other","")</f>
        <v/>
      </c>
    </row>
    <row r="133" spans="2:39" s="1164" customFormat="1" ht="15.65" customHeight="1" x14ac:dyDescent="0.25">
      <c r="B133" s="1095"/>
      <c r="C133" s="1101" t="s">
        <v>320</v>
      </c>
      <c r="D133" s="1101"/>
      <c r="E133" s="407"/>
      <c r="F133" s="408"/>
      <c r="G133" s="371"/>
      <c r="H133" s="409"/>
      <c r="I133" s="1275"/>
      <c r="J133" s="1101"/>
      <c r="K133" s="1101"/>
      <c r="L133" s="1101"/>
      <c r="M133" s="1101"/>
      <c r="N133" s="1278" t="str">
        <f t="shared" si="3"/>
        <v/>
      </c>
      <c r="O133" s="1358">
        <f>IF(AND(F133="",G133="",H133=""),0,IFERROR(Y133,'Hidden Lists and Summaries'!$C$158))</f>
        <v>0</v>
      </c>
      <c r="P133" s="1280" t="s">
        <v>90</v>
      </c>
      <c r="Q133" s="1277"/>
      <c r="Y133" s="1281" t="e">
        <f>G133*VLOOKUP(H133,massConv[#All],3,FALSE)</f>
        <v>#N/A</v>
      </c>
      <c r="Z133" s="1102"/>
      <c r="AA133" s="1102"/>
      <c r="AB133" s="1102"/>
      <c r="AC133" s="1102"/>
      <c r="AD133" s="1102"/>
      <c r="AE133" s="1102"/>
      <c r="AF133" s="1166"/>
      <c r="AG133" s="1102"/>
      <c r="AH133" s="1165"/>
      <c r="AI133" s="1102">
        <f>O133</f>
        <v>0</v>
      </c>
      <c r="AJ133" s="1102"/>
      <c r="AK133" s="1102">
        <f>F133</f>
        <v>0</v>
      </c>
      <c r="AL133" s="1102"/>
      <c r="AM133" s="1166" t="str">
        <f>IF(AI133='Hidden Lists and Summaries'!$B$5,"Other","")</f>
        <v/>
      </c>
    </row>
    <row r="134" spans="2:39" s="1164" customFormat="1" ht="15.65" customHeight="1" x14ac:dyDescent="0.25">
      <c r="B134" s="1105"/>
      <c r="C134" s="1106"/>
      <c r="D134" s="1106"/>
      <c r="E134" s="1097"/>
      <c r="F134" s="1097"/>
      <c r="G134" s="1106"/>
      <c r="H134" s="1284"/>
      <c r="I134" s="1284"/>
      <c r="J134" s="1106"/>
      <c r="K134" s="1106"/>
      <c r="L134" s="1106"/>
      <c r="M134" s="1106"/>
      <c r="N134" s="1285" t="s">
        <v>120</v>
      </c>
      <c r="O134" s="1286">
        <f>SUM(O130:O133)</f>
        <v>0</v>
      </c>
      <c r="P134" s="1287" t="s">
        <v>90</v>
      </c>
      <c r="Q134" s="1107"/>
      <c r="Y134" s="1165"/>
      <c r="Z134" s="1102"/>
      <c r="AA134" s="1102"/>
      <c r="AB134" s="1102"/>
      <c r="AC134" s="1102"/>
      <c r="AD134" s="1102"/>
      <c r="AE134" s="1102"/>
      <c r="AF134" s="1166"/>
      <c r="AG134" s="1102"/>
      <c r="AH134" s="1282"/>
      <c r="AI134" s="1236"/>
      <c r="AJ134" s="1236"/>
      <c r="AK134" s="1236"/>
      <c r="AL134" s="1236"/>
      <c r="AM134" s="1283"/>
    </row>
    <row r="135" spans="2:39" ht="15.65" customHeight="1" x14ac:dyDescent="0.25">
      <c r="B135" s="1118"/>
      <c r="C135" s="1118"/>
      <c r="D135" s="1118"/>
      <c r="E135" s="1118"/>
      <c r="F135" s="1118"/>
      <c r="G135" s="1118"/>
      <c r="H135" s="1118"/>
      <c r="I135" s="1118"/>
      <c r="J135" s="1118"/>
      <c r="K135" s="1118"/>
      <c r="L135" s="1118"/>
      <c r="M135" s="1118"/>
      <c r="N135" s="1118"/>
      <c r="O135" s="1465"/>
      <c r="P135" s="1465"/>
      <c r="Q135" s="1118"/>
      <c r="Y135" s="1088"/>
      <c r="Z135" s="1079"/>
      <c r="AA135" s="1079"/>
      <c r="AB135" s="1079"/>
      <c r="AC135" s="1079"/>
      <c r="AD135" s="1079"/>
      <c r="AE135" s="1079"/>
      <c r="AF135" s="1080"/>
    </row>
    <row r="136" spans="2:39" ht="15.65" customHeight="1" x14ac:dyDescent="0.25">
      <c r="B136" s="1081"/>
      <c r="C136" s="1082"/>
      <c r="D136" s="1082"/>
      <c r="E136" s="1082"/>
      <c r="F136" s="1082"/>
      <c r="G136" s="1082"/>
      <c r="H136" s="1082"/>
      <c r="I136" s="1082"/>
      <c r="J136" s="1082"/>
      <c r="K136" s="1082"/>
      <c r="L136" s="1082"/>
      <c r="M136" s="1082"/>
      <c r="N136" s="1082"/>
      <c r="O136" s="1082"/>
      <c r="P136" s="1082"/>
      <c r="Q136" s="1083"/>
      <c r="Y136" s="1088"/>
      <c r="Z136" s="1079"/>
      <c r="AA136" s="1079"/>
      <c r="AB136" s="1079"/>
      <c r="AC136" s="1079"/>
      <c r="AD136" s="1079"/>
      <c r="AE136" s="1079"/>
      <c r="AF136" s="1080"/>
    </row>
    <row r="137" spans="2:39" ht="15.65" customHeight="1" x14ac:dyDescent="0.25">
      <c r="B137" s="1084"/>
      <c r="C137" s="1109" t="s">
        <v>321</v>
      </c>
      <c r="D137" s="1086"/>
      <c r="E137" s="1086"/>
      <c r="F137" s="1086"/>
      <c r="G137" s="1086"/>
      <c r="H137" s="1086"/>
      <c r="I137" s="1086"/>
      <c r="J137" s="1086"/>
      <c r="K137" s="1086"/>
      <c r="L137" s="1086"/>
      <c r="M137" s="1086"/>
      <c r="N137" s="1086"/>
      <c r="O137" s="1086"/>
      <c r="P137" s="1086"/>
      <c r="Q137" s="1087"/>
      <c r="Y137" s="1088"/>
      <c r="Z137" s="1079"/>
      <c r="AA137" s="1079"/>
      <c r="AB137" s="1079"/>
      <c r="AC137" s="1079"/>
      <c r="AD137" s="1079"/>
      <c r="AE137" s="1079"/>
      <c r="AF137" s="1080"/>
    </row>
    <row r="138" spans="2:39" ht="15.65" customHeight="1" x14ac:dyDescent="0.25">
      <c r="B138" s="1089"/>
      <c r="C138" s="1090"/>
      <c r="D138" s="1090"/>
      <c r="E138" s="1091" t="s">
        <v>322</v>
      </c>
      <c r="F138" s="1091" t="s">
        <v>184</v>
      </c>
      <c r="G138" s="1093"/>
      <c r="H138" s="1111"/>
      <c r="I138" s="1111"/>
      <c r="J138" s="1093"/>
      <c r="K138" s="1093"/>
      <c r="L138" s="1093"/>
      <c r="M138" s="1093"/>
      <c r="N138" s="1093"/>
      <c r="O138" s="1091" t="s">
        <v>82</v>
      </c>
      <c r="P138" s="1093"/>
      <c r="Q138" s="1112"/>
      <c r="Y138" s="1153" t="s">
        <v>109</v>
      </c>
      <c r="Z138" s="1122" t="s">
        <v>324</v>
      </c>
      <c r="AA138" s="1079"/>
      <c r="AB138" s="1079"/>
      <c r="AC138" s="1079"/>
      <c r="AD138" s="1079"/>
      <c r="AE138" s="1079"/>
      <c r="AF138" s="1080"/>
    </row>
    <row r="139" spans="2:39" ht="15.65" customHeight="1" x14ac:dyDescent="0.25">
      <c r="B139" s="1095"/>
      <c r="C139" s="1096"/>
      <c r="D139" s="1096"/>
      <c r="E139" s="1096"/>
      <c r="F139" s="1096"/>
      <c r="G139" s="1096"/>
      <c r="H139" s="1098"/>
      <c r="I139" s="1098"/>
      <c r="J139" s="1096"/>
      <c r="K139" s="1096"/>
      <c r="L139" s="1096"/>
      <c r="M139" s="1096"/>
      <c r="N139" s="1288"/>
      <c r="O139" s="1126" t="s">
        <v>325</v>
      </c>
      <c r="P139" s="1155"/>
      <c r="Q139" s="1099"/>
      <c r="Y139" s="1468" t="s">
        <v>84</v>
      </c>
      <c r="Z139" s="1467" t="s">
        <v>326</v>
      </c>
      <c r="AA139" s="1079"/>
      <c r="AB139" s="1079"/>
      <c r="AC139" s="1079"/>
      <c r="AD139" s="1079"/>
      <c r="AE139" s="1079"/>
      <c r="AF139" s="1080"/>
    </row>
    <row r="140" spans="2:39" ht="15.65" customHeight="1" x14ac:dyDescent="0.25">
      <c r="B140" s="1095"/>
      <c r="C140" s="1113" t="s">
        <v>327</v>
      </c>
      <c r="D140" s="1096"/>
      <c r="E140" s="410"/>
      <c r="F140" s="1289" t="s">
        <v>415</v>
      </c>
      <c r="G140" s="1096"/>
      <c r="H140" s="1098"/>
      <c r="I140" s="1098"/>
      <c r="J140" s="1096"/>
      <c r="K140" s="1096"/>
      <c r="L140" s="1096"/>
      <c r="M140" s="1096"/>
      <c r="N140" s="1130"/>
      <c r="O140" s="1131">
        <f>IF(E140="",0,IFERROR(Y140*Z140,'Hidden Lists and Summaries'!$C$158))</f>
        <v>0</v>
      </c>
      <c r="P140" s="1132" t="s">
        <v>90</v>
      </c>
      <c r="Q140" s="1099"/>
      <c r="Y140" s="1367">
        <f>VLOOKUP(F140,EnergyConversionTable[#All], 3, FALSE)*E140</f>
        <v>0</v>
      </c>
      <c r="Z140" s="1143">
        <f>'Key Values'!$C$149</f>
        <v>0.95499999999999996</v>
      </c>
      <c r="AA140" s="1079"/>
      <c r="AB140" s="1079"/>
      <c r="AC140" s="1079"/>
      <c r="AD140" s="1079"/>
      <c r="AE140" s="1079"/>
      <c r="AF140" s="1080"/>
    </row>
    <row r="141" spans="2:39" ht="15.65" customHeight="1" x14ac:dyDescent="0.25">
      <c r="B141" s="1105"/>
      <c r="C141" s="1106"/>
      <c r="D141" s="1106"/>
      <c r="E141" s="1106"/>
      <c r="F141" s="1106"/>
      <c r="G141" s="1106"/>
      <c r="H141" s="1115"/>
      <c r="I141" s="1115"/>
      <c r="J141" s="1106"/>
      <c r="K141" s="1106"/>
      <c r="L141" s="1106"/>
      <c r="M141" s="1106"/>
      <c r="N141" s="1144" t="s">
        <v>120</v>
      </c>
      <c r="O141" s="1145">
        <f>SUM(O140:O140)</f>
        <v>0</v>
      </c>
      <c r="P141" s="1146" t="s">
        <v>90</v>
      </c>
      <c r="Q141" s="1107"/>
      <c r="Y141" s="1088"/>
      <c r="Z141" s="1079"/>
      <c r="AA141" s="1079"/>
      <c r="AB141" s="1079"/>
      <c r="AC141" s="1079"/>
      <c r="AD141" s="1079"/>
      <c r="AE141" s="1079"/>
      <c r="AF141" s="1080"/>
    </row>
    <row r="142" spans="2:39" ht="15.65" customHeight="1" x14ac:dyDescent="0.25">
      <c r="B142" s="1118"/>
      <c r="C142" s="1118"/>
      <c r="D142" s="1118"/>
      <c r="E142" s="1118"/>
      <c r="F142" s="1118"/>
      <c r="G142" s="1118"/>
      <c r="H142" s="1118"/>
      <c r="I142" s="1118"/>
      <c r="J142" s="1118"/>
      <c r="K142" s="1118"/>
      <c r="L142" s="1118"/>
      <c r="M142" s="1118"/>
      <c r="N142" s="1118"/>
      <c r="O142" s="1118"/>
      <c r="P142" s="1118"/>
      <c r="Q142" s="1118"/>
      <c r="Y142" s="1088"/>
      <c r="Z142" s="1079"/>
      <c r="AA142" s="1079"/>
      <c r="AB142" s="1079"/>
      <c r="AC142" s="1079"/>
      <c r="AD142" s="1079"/>
      <c r="AE142" s="1079"/>
      <c r="AF142" s="1080"/>
    </row>
    <row r="143" spans="2:39" ht="15.65" customHeight="1" x14ac:dyDescent="0.25">
      <c r="B143" s="1081"/>
      <c r="C143" s="1082"/>
      <c r="D143" s="1082"/>
      <c r="E143" s="1082"/>
      <c r="F143" s="1082"/>
      <c r="G143" s="1082"/>
      <c r="H143" s="1082"/>
      <c r="I143" s="1082"/>
      <c r="J143" s="1082"/>
      <c r="K143" s="1082"/>
      <c r="L143" s="1082"/>
      <c r="M143" s="1082"/>
      <c r="N143" s="1082"/>
      <c r="O143" s="1082"/>
      <c r="P143" s="1082"/>
      <c r="Q143" s="1083"/>
      <c r="Y143" s="1088"/>
      <c r="Z143" s="1079"/>
      <c r="AA143" s="1079"/>
      <c r="AB143" s="1079"/>
      <c r="AC143" s="1079"/>
      <c r="AD143" s="1079"/>
      <c r="AE143" s="1079"/>
      <c r="AF143" s="1080"/>
    </row>
    <row r="144" spans="2:39" ht="15.65" customHeight="1" x14ac:dyDescent="0.25">
      <c r="B144" s="1084"/>
      <c r="C144" s="1109" t="s">
        <v>328</v>
      </c>
      <c r="D144" s="1086"/>
      <c r="E144" s="1086"/>
      <c r="F144" s="1086"/>
      <c r="G144" s="1086"/>
      <c r="H144" s="1086"/>
      <c r="I144" s="1086"/>
      <c r="J144" s="1086"/>
      <c r="K144" s="1086"/>
      <c r="L144" s="1086"/>
      <c r="M144" s="1086"/>
      <c r="N144" s="1086"/>
      <c r="O144" s="1086"/>
      <c r="P144" s="1086"/>
      <c r="Q144" s="1087"/>
      <c r="Y144" s="1088"/>
      <c r="Z144" s="1079"/>
      <c r="AA144" s="1079"/>
      <c r="AB144" s="1079"/>
      <c r="AC144" s="1079"/>
      <c r="AD144" s="1079"/>
      <c r="AE144" s="1079"/>
      <c r="AF144" s="1080"/>
    </row>
    <row r="145" spans="2:32" ht="15.65" customHeight="1" x14ac:dyDescent="0.25">
      <c r="B145" s="1089"/>
      <c r="C145" s="1090"/>
      <c r="D145" s="1090"/>
      <c r="E145" s="1291" t="s">
        <v>133</v>
      </c>
      <c r="F145" s="1091" t="s">
        <v>329</v>
      </c>
      <c r="G145" s="1091" t="s">
        <v>184</v>
      </c>
      <c r="H145" s="1091" t="s">
        <v>263</v>
      </c>
      <c r="I145" s="1111"/>
      <c r="J145" s="1093"/>
      <c r="K145" s="1093"/>
      <c r="L145" s="1093"/>
      <c r="M145" s="1093"/>
      <c r="N145" s="1093"/>
      <c r="O145" s="1091" t="s">
        <v>82</v>
      </c>
      <c r="P145" s="1093"/>
      <c r="Q145" s="1112"/>
      <c r="Y145" s="1121" t="s">
        <v>77</v>
      </c>
      <c r="Z145" s="1154" t="s">
        <v>330</v>
      </c>
      <c r="AA145" s="1122" t="s">
        <v>331</v>
      </c>
      <c r="AB145" s="1122" t="s">
        <v>123</v>
      </c>
      <c r="AC145" s="1122" t="s">
        <v>264</v>
      </c>
      <c r="AD145" s="1122" t="s">
        <v>265</v>
      </c>
      <c r="AE145" s="1079"/>
      <c r="AF145" s="1080"/>
    </row>
    <row r="146" spans="2:32" ht="15.65" customHeight="1" x14ac:dyDescent="0.25">
      <c r="B146" s="1095"/>
      <c r="C146" s="1096"/>
      <c r="D146" s="1096"/>
      <c r="E146" s="1173"/>
      <c r="F146" s="1096"/>
      <c r="G146" s="1096"/>
      <c r="H146" s="1096"/>
      <c r="I146" s="1098"/>
      <c r="J146" s="1096"/>
      <c r="K146" s="1096"/>
      <c r="L146" s="1096"/>
      <c r="M146" s="1096"/>
      <c r="N146" s="1288"/>
      <c r="O146" s="1126" t="s">
        <v>325</v>
      </c>
      <c r="P146" s="1155"/>
      <c r="Q146" s="1099"/>
      <c r="Y146" s="1121" t="s">
        <v>273</v>
      </c>
      <c r="Z146" s="1157" t="s">
        <v>128</v>
      </c>
      <c r="AA146" s="1232" t="s">
        <v>128</v>
      </c>
      <c r="AB146" s="1121" t="s">
        <v>272</v>
      </c>
      <c r="AC146" s="1122" t="s">
        <v>270</v>
      </c>
      <c r="AD146" s="1122" t="s">
        <v>270</v>
      </c>
      <c r="AE146" s="1079"/>
      <c r="AF146" s="1080"/>
    </row>
    <row r="147" spans="2:32" ht="15.65" customHeight="1" x14ac:dyDescent="0.25">
      <c r="B147" s="1095"/>
      <c r="C147" s="1113" t="s">
        <v>332</v>
      </c>
      <c r="D147" s="1202"/>
      <c r="E147" s="411"/>
      <c r="F147" s="357"/>
      <c r="G147" s="412"/>
      <c r="H147" s="994"/>
      <c r="I147" s="1098"/>
      <c r="J147" s="1096"/>
      <c r="K147" s="1096"/>
      <c r="L147" s="1096"/>
      <c r="M147" s="1096"/>
      <c r="N147" s="1130"/>
      <c r="O147" s="1131">
        <f>IF(AND(E147="",F147="",G147="",H147=""),0,IFERROR(Y147*Z147,'Hidden Lists and Summaries'!$C$158))</f>
        <v>0</v>
      </c>
      <c r="P147" s="1132" t="s">
        <v>90</v>
      </c>
      <c r="Q147" s="1099"/>
      <c r="Y147" s="1293" t="e">
        <f>(AC147+AD147)*AB147</f>
        <v>#N/A</v>
      </c>
      <c r="Z147" s="1294" t="e">
        <f>VLOOKUP(G147,massConv[#All], 3, FALSE)*F147</f>
        <v>#N/A</v>
      </c>
      <c r="AA147" s="1294" t="e">
        <f>VLOOKUP(G147,massConv[#All], 3, FALSE)*E147</f>
        <v>#N/A</v>
      </c>
      <c r="AB147" s="1148" t="e">
        <f>VLOOKUP(H147,SteamProperties[#All],6,FALSE)</f>
        <v>#N/A</v>
      </c>
      <c r="AC147" s="1148">
        <f>'Key Values'!$C$209</f>
        <v>51.53</v>
      </c>
      <c r="AD147" s="1149">
        <f>IFERROR(VLOOKUP(iq_location,GaseousFuelEmbodiedEmissions[#All],IF(iq_metro,2,3),FALSE),0)</f>
        <v>0</v>
      </c>
      <c r="AE147" s="1079"/>
      <c r="AF147" s="1080"/>
    </row>
    <row r="148" spans="2:32" ht="15.65" customHeight="1" x14ac:dyDescent="0.25">
      <c r="B148" s="1095"/>
      <c r="C148" s="1113" t="s">
        <v>333</v>
      </c>
      <c r="D148" s="1202"/>
      <c r="E148" s="413"/>
      <c r="F148" s="398"/>
      <c r="G148" s="414"/>
      <c r="H148" s="995"/>
      <c r="I148" s="1098"/>
      <c r="J148" s="1096"/>
      <c r="K148" s="1096"/>
      <c r="L148" s="1096"/>
      <c r="M148" s="1096"/>
      <c r="N148" s="1130"/>
      <c r="O148" s="1131">
        <f>IF(AND(E148="",F148="",G148="",H148=""),0,IFERROR(Y148*Z148,'Hidden Lists and Summaries'!$C$158))</f>
        <v>0</v>
      </c>
      <c r="P148" s="1132" t="s">
        <v>90</v>
      </c>
      <c r="Q148" s="1099"/>
      <c r="Y148" s="1295" t="e">
        <f t="shared" ref="Y148:Y149" si="4">(AC148+AD148)*AB148</f>
        <v>#N/A</v>
      </c>
      <c r="Z148" s="1296" t="e">
        <f>VLOOKUP(G148,massConv[#All], 3, FALSE)*F148</f>
        <v>#N/A</v>
      </c>
      <c r="AA148" s="1296" t="e">
        <f>VLOOKUP(G148,massConv[#All], 3, FALSE)*E148</f>
        <v>#N/A</v>
      </c>
      <c r="AB148" s="1079" t="e">
        <f>VLOOKUP(H148,SteamProperties[#All],6,FALSE)</f>
        <v>#N/A</v>
      </c>
      <c r="AC148" s="1079">
        <f>'Key Values'!$C$209</f>
        <v>51.53</v>
      </c>
      <c r="AD148" s="1080">
        <f>IFERROR(VLOOKUP(iq_location,GaseousFuelEmbodiedEmissions[#All],IF(iq_metro,2,3),FALSE),0)</f>
        <v>0</v>
      </c>
      <c r="AE148" s="1079"/>
      <c r="AF148" s="1080"/>
    </row>
    <row r="149" spans="2:32" ht="15.65" customHeight="1" x14ac:dyDescent="0.25">
      <c r="B149" s="1095"/>
      <c r="C149" s="1113" t="s">
        <v>334</v>
      </c>
      <c r="D149" s="1202"/>
      <c r="E149" s="415"/>
      <c r="F149" s="360"/>
      <c r="G149" s="416"/>
      <c r="H149" s="996"/>
      <c r="I149" s="1098"/>
      <c r="J149" s="1096"/>
      <c r="K149" s="1096"/>
      <c r="L149" s="1096"/>
      <c r="M149" s="1096"/>
      <c r="N149" s="1130"/>
      <c r="O149" s="1139">
        <f>IF(AND(E149="",F149="",G149="",H149=""),0,IFERROR(Y149*Z149,'Hidden Lists and Summaries'!$C$158))</f>
        <v>0</v>
      </c>
      <c r="P149" s="1132" t="s">
        <v>90</v>
      </c>
      <c r="Q149" s="1099"/>
      <c r="Y149" s="1297" t="e">
        <f t="shared" si="4"/>
        <v>#N/A</v>
      </c>
      <c r="Z149" s="1298" t="e">
        <f>VLOOKUP(G149,massConv[#All], 3, FALSE)*F149</f>
        <v>#N/A</v>
      </c>
      <c r="AA149" s="1298" t="e">
        <f>VLOOKUP(G149,massConv[#All], 3, FALSE)*E149</f>
        <v>#N/A</v>
      </c>
      <c r="AB149" s="1142" t="e">
        <f>VLOOKUP(H149,SteamProperties[#All],6,FALSE)</f>
        <v>#N/A</v>
      </c>
      <c r="AC149" s="1142">
        <f>'Key Values'!$C$209</f>
        <v>51.53</v>
      </c>
      <c r="AD149" s="1143">
        <f>IFERROR(VLOOKUP(iq_location,GaseousFuelEmbodiedEmissions[#All],IF(iq_metro,2,3),FALSE),0)</f>
        <v>0</v>
      </c>
      <c r="AE149" s="1079"/>
      <c r="AF149" s="1080"/>
    </row>
    <row r="150" spans="2:32" ht="15.65" customHeight="1" x14ac:dyDescent="0.25">
      <c r="B150" s="1105"/>
      <c r="C150" s="1106"/>
      <c r="D150" s="1106"/>
      <c r="E150" s="1106"/>
      <c r="F150" s="1106"/>
      <c r="G150" s="1106"/>
      <c r="H150" s="1115"/>
      <c r="I150" s="1115"/>
      <c r="J150" s="1106"/>
      <c r="K150" s="1106"/>
      <c r="L150" s="1106"/>
      <c r="M150" s="1106"/>
      <c r="N150" s="1144" t="s">
        <v>120</v>
      </c>
      <c r="O150" s="1145">
        <f>SUM(O147:O149)</f>
        <v>0</v>
      </c>
      <c r="P150" s="1146" t="s">
        <v>90</v>
      </c>
      <c r="Q150" s="1107"/>
      <c r="Y150" s="1088"/>
      <c r="Z150" s="1079"/>
      <c r="AA150" s="1079"/>
      <c r="AB150" s="1079"/>
      <c r="AC150" s="1079"/>
      <c r="AD150" s="1079"/>
      <c r="AE150" s="1079"/>
      <c r="AF150" s="1080"/>
    </row>
    <row r="151" spans="2:32" s="1164" customFormat="1" ht="15.65" customHeight="1" x14ac:dyDescent="0.25">
      <c r="B151" s="1162"/>
      <c r="C151" s="1108"/>
      <c r="D151" s="1108"/>
      <c r="E151" s="1108"/>
      <c r="F151" s="1108"/>
      <c r="G151" s="1108"/>
      <c r="H151" s="1102"/>
      <c r="I151" s="1102"/>
      <c r="J151" s="1108"/>
      <c r="K151" s="1108"/>
      <c r="L151" s="1108"/>
      <c r="M151" s="1108"/>
      <c r="N151" s="1163"/>
      <c r="O151" s="1108"/>
      <c r="P151" s="1108"/>
      <c r="Q151" s="1162"/>
      <c r="Y151" s="1165"/>
      <c r="Z151" s="1102"/>
      <c r="AA151" s="1102"/>
      <c r="AB151" s="1102"/>
      <c r="AC151" s="1102"/>
      <c r="AD151" s="1102"/>
      <c r="AE151" s="1102"/>
      <c r="AF151" s="1166"/>
    </row>
    <row r="152" spans="2:32" ht="15.65" customHeight="1" x14ac:dyDescent="0.25">
      <c r="B152" s="1081"/>
      <c r="C152" s="1082"/>
      <c r="D152" s="1082"/>
      <c r="E152" s="1082"/>
      <c r="F152" s="1082"/>
      <c r="G152" s="1082"/>
      <c r="H152" s="1082"/>
      <c r="I152" s="1082"/>
      <c r="J152" s="1082"/>
      <c r="K152" s="1082"/>
      <c r="L152" s="1082"/>
      <c r="M152" s="1082"/>
      <c r="N152" s="1082"/>
      <c r="O152" s="1082"/>
      <c r="P152" s="1082"/>
      <c r="Q152" s="1083"/>
      <c r="Y152" s="1088"/>
      <c r="Z152" s="1079"/>
      <c r="AA152" s="1079"/>
      <c r="AB152" s="1079"/>
      <c r="AC152" s="1079"/>
      <c r="AD152" s="1079"/>
      <c r="AE152" s="1079"/>
      <c r="AF152" s="1080"/>
    </row>
    <row r="153" spans="2:32" ht="15.65" customHeight="1" x14ac:dyDescent="0.25">
      <c r="B153" s="1084"/>
      <c r="C153" s="1109" t="s">
        <v>904</v>
      </c>
      <c r="D153" s="1086"/>
      <c r="E153" s="1086"/>
      <c r="F153" s="1086"/>
      <c r="G153" s="1086"/>
      <c r="H153" s="1086"/>
      <c r="I153" s="1086"/>
      <c r="J153" s="1086"/>
      <c r="K153" s="1086"/>
      <c r="L153" s="1086"/>
      <c r="M153" s="1086"/>
      <c r="N153" s="1086"/>
      <c r="O153" s="1086"/>
      <c r="P153" s="1086"/>
      <c r="Q153" s="1087"/>
      <c r="Y153" s="1088"/>
      <c r="Z153" s="1079"/>
      <c r="AA153" s="1079"/>
      <c r="AB153" s="1079"/>
      <c r="AC153" s="1079"/>
      <c r="AD153" s="1079"/>
      <c r="AE153" s="1079"/>
      <c r="AF153" s="1080"/>
    </row>
    <row r="154" spans="2:32" ht="15.65" customHeight="1" x14ac:dyDescent="0.25">
      <c r="B154" s="1089"/>
      <c r="C154" s="1090"/>
      <c r="D154" s="1090"/>
      <c r="E154" s="1486" t="s">
        <v>336</v>
      </c>
      <c r="F154" s="1091" t="s">
        <v>337</v>
      </c>
      <c r="G154" s="1091" t="s">
        <v>184</v>
      </c>
      <c r="H154" s="1111"/>
      <c r="I154" s="1111"/>
      <c r="J154" s="1093"/>
      <c r="K154" s="1093"/>
      <c r="L154" s="1093"/>
      <c r="M154" s="1093"/>
      <c r="N154" s="1093"/>
      <c r="O154" s="1091" t="s">
        <v>82</v>
      </c>
      <c r="P154" s="1093"/>
      <c r="Q154" s="1112"/>
      <c r="Y154" s="1299" t="s">
        <v>338</v>
      </c>
      <c r="Z154" s="1122" t="s">
        <v>905</v>
      </c>
      <c r="AA154" s="1122" t="s">
        <v>324</v>
      </c>
      <c r="AB154" s="1122" t="s">
        <v>340</v>
      </c>
      <c r="AC154" s="1079"/>
      <c r="AD154" s="1079"/>
      <c r="AE154" s="1079"/>
      <c r="AF154" s="1080"/>
    </row>
    <row r="155" spans="2:32" ht="15.65" customHeight="1" x14ac:dyDescent="0.25">
      <c r="B155" s="1095"/>
      <c r="C155" s="1096"/>
      <c r="D155" s="1096"/>
      <c r="E155" s="1487"/>
      <c r="F155" s="1096"/>
      <c r="G155" s="1096"/>
      <c r="H155" s="1098"/>
      <c r="I155" s="1098"/>
      <c r="J155" s="1096"/>
      <c r="K155" s="1096"/>
      <c r="L155" s="1096"/>
      <c r="M155" s="1096"/>
      <c r="N155" s="1288"/>
      <c r="O155" s="1126" t="s">
        <v>325</v>
      </c>
      <c r="P155" s="1155"/>
      <c r="Q155" s="1099"/>
      <c r="Y155" s="1156" t="s">
        <v>128</v>
      </c>
      <c r="Z155" s="1122" t="s">
        <v>341</v>
      </c>
      <c r="AA155" s="1122" t="s">
        <v>326</v>
      </c>
      <c r="AB155" s="1122" t="s">
        <v>128</v>
      </c>
      <c r="AC155" s="1079"/>
      <c r="AD155" s="1079"/>
      <c r="AE155" s="1079"/>
      <c r="AF155" s="1080"/>
    </row>
    <row r="156" spans="2:32" ht="15.65" customHeight="1" x14ac:dyDescent="0.25">
      <c r="B156" s="1095"/>
      <c r="C156" s="1113" t="s">
        <v>906</v>
      </c>
      <c r="D156" s="1096"/>
      <c r="E156" s="417"/>
      <c r="F156" s="418"/>
      <c r="G156" s="419"/>
      <c r="H156" s="1098"/>
      <c r="I156" s="1098"/>
      <c r="J156" s="1096"/>
      <c r="K156" s="1096"/>
      <c r="L156" s="1096"/>
      <c r="M156" s="1096"/>
      <c r="N156" s="1130"/>
      <c r="O156" s="1131">
        <f>IF(AND(E156="",F156="",G156=""),0,IFERROR(Y156*Z156*AA156,'Hidden Lists and Summaries'!$C$158))</f>
        <v>0</v>
      </c>
      <c r="P156" s="1132" t="s">
        <v>90</v>
      </c>
      <c r="Q156" s="1099"/>
      <c r="Y156" s="1290" t="e">
        <f>VLOOKUP(G156,massConv[#All], 3, FALSE)*F156</f>
        <v>#N/A</v>
      </c>
      <c r="Z156" s="1464">
        <f>'Key Values'!$C$241</f>
        <v>0.30380000000000001</v>
      </c>
      <c r="AA156" s="1159">
        <f>'Key Values'!$C$149</f>
        <v>0.95499999999999996</v>
      </c>
      <c r="AB156" s="1488" t="e">
        <f>VLOOKUP(G156,massConv[#All], 3, FALSE)*E156</f>
        <v>#N/A</v>
      </c>
      <c r="AC156" s="1079"/>
      <c r="AD156" s="1079"/>
      <c r="AE156" s="1079"/>
      <c r="AF156" s="1080"/>
    </row>
    <row r="157" spans="2:32" ht="15.65" customHeight="1" x14ac:dyDescent="0.25">
      <c r="B157" s="1105"/>
      <c r="C157" s="1106"/>
      <c r="D157" s="1106"/>
      <c r="E157" s="1106"/>
      <c r="F157" s="1106"/>
      <c r="G157" s="1106"/>
      <c r="H157" s="1115"/>
      <c r="I157" s="1115"/>
      <c r="J157" s="1106"/>
      <c r="K157" s="1106"/>
      <c r="L157" s="1106"/>
      <c r="M157" s="1106"/>
      <c r="N157" s="1144" t="s">
        <v>120</v>
      </c>
      <c r="O157" s="1145">
        <f>SUM(O156)</f>
        <v>0</v>
      </c>
      <c r="P157" s="1146" t="s">
        <v>90</v>
      </c>
      <c r="Q157" s="1107"/>
      <c r="Y157" s="1088"/>
      <c r="Z157" s="1079"/>
      <c r="AA157" s="1079"/>
      <c r="AB157" s="1079"/>
      <c r="AC157" s="1079"/>
      <c r="AD157" s="1079"/>
      <c r="AE157" s="1079"/>
      <c r="AF157" s="1080"/>
    </row>
    <row r="158" spans="2:32" ht="15.65" customHeight="1" x14ac:dyDescent="0.25">
      <c r="B158" s="1118"/>
      <c r="C158" s="1118"/>
      <c r="D158" s="1118"/>
      <c r="E158" s="1118"/>
      <c r="F158" s="1118"/>
      <c r="G158" s="1118"/>
      <c r="H158" s="1118"/>
      <c r="I158" s="1118"/>
      <c r="J158" s="1118"/>
      <c r="K158" s="1118"/>
      <c r="L158" s="1118"/>
      <c r="M158" s="1118"/>
      <c r="N158" s="1118"/>
      <c r="O158" s="1118"/>
      <c r="P158" s="1118"/>
      <c r="Q158" s="1118"/>
      <c r="Y158" s="1088"/>
      <c r="Z158" s="1079"/>
      <c r="AA158" s="1079"/>
      <c r="AB158" s="1079"/>
      <c r="AC158" s="1079"/>
      <c r="AD158" s="1079"/>
      <c r="AE158" s="1079"/>
      <c r="AF158" s="1080"/>
    </row>
    <row r="159" spans="2:32" ht="15.65" customHeight="1" x14ac:dyDescent="0.25">
      <c r="B159" s="1081"/>
      <c r="C159" s="1082"/>
      <c r="D159" s="1082"/>
      <c r="E159" s="1082"/>
      <c r="F159" s="1082"/>
      <c r="G159" s="1082"/>
      <c r="H159" s="1082"/>
      <c r="I159" s="1082"/>
      <c r="J159" s="1082"/>
      <c r="K159" s="1082"/>
      <c r="L159" s="1082"/>
      <c r="M159" s="1082"/>
      <c r="N159" s="1082"/>
      <c r="O159" s="1082"/>
      <c r="P159" s="1082"/>
      <c r="Q159" s="1083"/>
      <c r="Y159" s="1088"/>
      <c r="Z159" s="1079"/>
      <c r="AA159" s="1079"/>
      <c r="AB159" s="1079"/>
      <c r="AC159" s="1079"/>
      <c r="AD159" s="1079"/>
      <c r="AE159" s="1079"/>
      <c r="AF159" s="1080"/>
    </row>
    <row r="160" spans="2:32" ht="15.65" customHeight="1" x14ac:dyDescent="0.25">
      <c r="B160" s="1084"/>
      <c r="C160" s="1109" t="s">
        <v>343</v>
      </c>
      <c r="D160" s="1086"/>
      <c r="E160" s="1086"/>
      <c r="F160" s="1086"/>
      <c r="G160" s="1086"/>
      <c r="H160" s="1086"/>
      <c r="I160" s="1086"/>
      <c r="J160" s="1086"/>
      <c r="K160" s="1086"/>
      <c r="L160" s="1086"/>
      <c r="M160" s="1086"/>
      <c r="N160" s="1086"/>
      <c r="O160" s="1086"/>
      <c r="P160" s="1086"/>
      <c r="Q160" s="1087"/>
      <c r="Y160" s="1088"/>
      <c r="Z160" s="1079"/>
      <c r="AA160" s="1079"/>
      <c r="AB160" s="1079"/>
      <c r="AC160" s="1079"/>
      <c r="AD160" s="1079"/>
      <c r="AE160" s="1079"/>
      <c r="AF160" s="1080"/>
    </row>
    <row r="161" spans="1:32" ht="15.65" customHeight="1" x14ac:dyDescent="0.25">
      <c r="B161" s="1089"/>
      <c r="C161" s="1090"/>
      <c r="D161" s="1090"/>
      <c r="E161" s="1291" t="s">
        <v>336</v>
      </c>
      <c r="F161" s="1091" t="s">
        <v>337</v>
      </c>
      <c r="G161" s="1091" t="s">
        <v>184</v>
      </c>
      <c r="H161" s="1091" t="s">
        <v>344</v>
      </c>
      <c r="I161" s="1111"/>
      <c r="J161" s="1093"/>
      <c r="K161" s="1093"/>
      <c r="L161" s="1093"/>
      <c r="M161" s="1093"/>
      <c r="N161" s="1093"/>
      <c r="O161" s="1091" t="s">
        <v>323</v>
      </c>
      <c r="P161" s="1093"/>
      <c r="Q161" s="1112"/>
      <c r="Y161" s="1299" t="s">
        <v>340</v>
      </c>
      <c r="Z161" s="1299" t="s">
        <v>338</v>
      </c>
      <c r="AA161" s="1299" t="s">
        <v>345</v>
      </c>
      <c r="AB161" s="1299" t="s">
        <v>346</v>
      </c>
      <c r="AC161" s="1079"/>
      <c r="AD161" s="1079"/>
      <c r="AE161" s="1079"/>
      <c r="AF161" s="1080"/>
    </row>
    <row r="162" spans="1:32" ht="15.65" customHeight="1" x14ac:dyDescent="0.25">
      <c r="B162" s="1095"/>
      <c r="C162" s="1096"/>
      <c r="D162" s="1096"/>
      <c r="E162" s="1173"/>
      <c r="F162" s="1096"/>
      <c r="G162" s="1096"/>
      <c r="H162" s="1096"/>
      <c r="I162" s="1098"/>
      <c r="J162" s="1096"/>
      <c r="K162" s="1096"/>
      <c r="L162" s="1096"/>
      <c r="M162" s="1096"/>
      <c r="N162" s="1288"/>
      <c r="O162" s="1126" t="s">
        <v>325</v>
      </c>
      <c r="P162" s="1155"/>
      <c r="Q162" s="1099"/>
      <c r="Y162" s="1156" t="s">
        <v>347</v>
      </c>
      <c r="Z162" s="1156" t="s">
        <v>347</v>
      </c>
      <c r="AA162" s="1156"/>
      <c r="AB162" s="1156" t="s">
        <v>116</v>
      </c>
      <c r="AC162" s="1079"/>
      <c r="AD162" s="1079"/>
      <c r="AE162" s="1079"/>
      <c r="AF162" s="1080"/>
    </row>
    <row r="163" spans="1:32" ht="15.65" customHeight="1" x14ac:dyDescent="0.25">
      <c r="B163" s="1095"/>
      <c r="C163" s="469" t="s">
        <v>348</v>
      </c>
      <c r="D163" s="1202"/>
      <c r="E163" s="411"/>
      <c r="F163" s="357"/>
      <c r="G163" s="363"/>
      <c r="H163" s="927"/>
      <c r="I163" s="1098"/>
      <c r="J163" s="1096"/>
      <c r="K163" s="1096"/>
      <c r="L163" s="1096"/>
      <c r="M163" s="1096"/>
      <c r="N163" s="1130"/>
      <c r="O163" s="1131">
        <f>IFERROR(AB163,'Hidden Lists and Summaries'!$C$158)</f>
        <v>0</v>
      </c>
      <c r="P163" s="1132" t="s">
        <v>90</v>
      </c>
      <c r="Q163" s="1099"/>
      <c r="Y163" s="1147">
        <f>$E163</f>
        <v>0</v>
      </c>
      <c r="Z163" s="1148">
        <f>$F163</f>
        <v>0</v>
      </c>
      <c r="AA163" s="1148">
        <f>$G163</f>
        <v>0</v>
      </c>
      <c r="AB163" s="1149">
        <f>$H163</f>
        <v>0</v>
      </c>
      <c r="AC163" s="1079"/>
      <c r="AD163" s="1079"/>
      <c r="AE163" s="1079"/>
      <c r="AF163" s="1080"/>
    </row>
    <row r="164" spans="1:32" ht="15.65" customHeight="1" x14ac:dyDescent="0.25">
      <c r="B164" s="1095"/>
      <c r="C164" s="1068" t="s">
        <v>349</v>
      </c>
      <c r="D164" s="1202"/>
      <c r="E164" s="413"/>
      <c r="F164" s="398"/>
      <c r="G164" s="366"/>
      <c r="H164" s="928"/>
      <c r="I164" s="1098"/>
      <c r="J164" s="1096"/>
      <c r="K164" s="1096"/>
      <c r="L164" s="1096"/>
      <c r="M164" s="1096"/>
      <c r="N164" s="1130"/>
      <c r="O164" s="1131">
        <f>IFERROR(AB164,'Hidden Lists and Summaries'!$C$158)</f>
        <v>0</v>
      </c>
      <c r="P164" s="1132" t="s">
        <v>90</v>
      </c>
      <c r="Q164" s="1099"/>
      <c r="Y164" s="1088">
        <f t="shared" ref="Y164:Y165" si="5">$E164</f>
        <v>0</v>
      </c>
      <c r="Z164" s="1079">
        <f t="shared" ref="Z164:Z165" si="6">$F164</f>
        <v>0</v>
      </c>
      <c r="AA164" s="1079">
        <f t="shared" ref="AA164:AA165" si="7">$G164</f>
        <v>0</v>
      </c>
      <c r="AB164" s="1080">
        <f t="shared" ref="AB164:AB165" si="8">$H164</f>
        <v>0</v>
      </c>
      <c r="AC164" s="1079"/>
      <c r="AD164" s="1079"/>
      <c r="AE164" s="1079"/>
      <c r="AF164" s="1080"/>
    </row>
    <row r="165" spans="1:32" ht="15.65" customHeight="1" x14ac:dyDescent="0.25">
      <c r="B165" s="1095"/>
      <c r="C165" s="470" t="s">
        <v>350</v>
      </c>
      <c r="D165" s="1202"/>
      <c r="E165" s="415"/>
      <c r="F165" s="360"/>
      <c r="G165" s="442"/>
      <c r="H165" s="929"/>
      <c r="I165" s="1098"/>
      <c r="J165" s="1096"/>
      <c r="K165" s="1096"/>
      <c r="L165" s="1096"/>
      <c r="M165" s="1096"/>
      <c r="N165" s="1130"/>
      <c r="O165" s="1139">
        <f>IFERROR(AB165,'Hidden Lists and Summaries'!$C$158)</f>
        <v>0</v>
      </c>
      <c r="P165" s="1132" t="s">
        <v>90</v>
      </c>
      <c r="Q165" s="1099"/>
      <c r="Y165" s="1197">
        <f t="shared" si="5"/>
        <v>0</v>
      </c>
      <c r="Z165" s="1142">
        <f t="shared" si="6"/>
        <v>0</v>
      </c>
      <c r="AA165" s="1142">
        <f t="shared" si="7"/>
        <v>0</v>
      </c>
      <c r="AB165" s="1143">
        <f t="shared" si="8"/>
        <v>0</v>
      </c>
      <c r="AC165" s="1079"/>
      <c r="AD165" s="1079"/>
      <c r="AE165" s="1079"/>
      <c r="AF165" s="1080"/>
    </row>
    <row r="166" spans="1:32" ht="15.65" customHeight="1" x14ac:dyDescent="0.25">
      <c r="B166" s="1105"/>
      <c r="C166" s="1106"/>
      <c r="D166" s="1106"/>
      <c r="E166" s="1106"/>
      <c r="F166" s="1106"/>
      <c r="G166" s="1097"/>
      <c r="H166" s="1115"/>
      <c r="I166" s="1115"/>
      <c r="J166" s="1106"/>
      <c r="K166" s="1106"/>
      <c r="L166" s="1106"/>
      <c r="M166" s="1106"/>
      <c r="N166" s="1144" t="s">
        <v>120</v>
      </c>
      <c r="O166" s="1145">
        <f>SUM(O163:O165)</f>
        <v>0</v>
      </c>
      <c r="P166" s="1146" t="s">
        <v>90</v>
      </c>
      <c r="Q166" s="1107"/>
      <c r="Y166" s="1088"/>
      <c r="Z166" s="1079"/>
      <c r="AA166" s="1079"/>
      <c r="AB166" s="1079"/>
      <c r="AC166" s="1079"/>
      <c r="AD166" s="1079"/>
      <c r="AE166" s="1079"/>
      <c r="AF166" s="1080"/>
    </row>
    <row r="167" spans="1:32" s="1164" customFormat="1" ht="15.65" customHeight="1" x14ac:dyDescent="0.25">
      <c r="B167" s="1108"/>
      <c r="C167" s="1108"/>
      <c r="D167" s="1108"/>
      <c r="E167" s="1108"/>
      <c r="F167" s="1108"/>
      <c r="G167" s="1108"/>
      <c r="H167" s="1102"/>
      <c r="I167" s="1102"/>
      <c r="J167" s="1108"/>
      <c r="K167" s="1108"/>
      <c r="L167" s="1108"/>
      <c r="M167" s="1108"/>
      <c r="N167" s="1163"/>
      <c r="O167" s="1108"/>
      <c r="P167" s="1108"/>
      <c r="Q167" s="1108"/>
      <c r="Y167" s="1165"/>
      <c r="Z167" s="1102"/>
      <c r="AA167" s="1102"/>
      <c r="AB167" s="1102"/>
      <c r="AC167" s="1102"/>
      <c r="AD167" s="1102"/>
      <c r="AE167" s="1102"/>
      <c r="AF167" s="1166"/>
    </row>
    <row r="168" spans="1:32" ht="15.65" customHeight="1" x14ac:dyDescent="0.25">
      <c r="A168" s="1164"/>
      <c r="B168" s="1081"/>
      <c r="C168" s="1082"/>
      <c r="D168" s="1082"/>
      <c r="E168" s="1082"/>
      <c r="F168" s="1082"/>
      <c r="G168" s="1082"/>
      <c r="H168" s="1082"/>
      <c r="I168" s="1082"/>
      <c r="J168" s="1082"/>
      <c r="K168" s="1082"/>
      <c r="L168" s="1082"/>
      <c r="M168" s="1082"/>
      <c r="N168" s="1082"/>
      <c r="O168" s="1082"/>
      <c r="P168" s="1082"/>
      <c r="Q168" s="1083"/>
      <c r="Y168" s="1088"/>
      <c r="Z168" s="1079"/>
      <c r="AA168" s="1079"/>
      <c r="AB168" s="1079"/>
      <c r="AC168" s="1079"/>
      <c r="AD168" s="1079"/>
      <c r="AE168" s="1079"/>
      <c r="AF168" s="1080"/>
    </row>
    <row r="169" spans="1:32" ht="15.65" customHeight="1" x14ac:dyDescent="0.25">
      <c r="A169" s="1164"/>
      <c r="B169" s="1084"/>
      <c r="C169" s="1198" t="s">
        <v>351</v>
      </c>
      <c r="D169" s="1151"/>
      <c r="E169" s="1151"/>
      <c r="F169" s="1151"/>
      <c r="G169" s="1151"/>
      <c r="H169" s="1151"/>
      <c r="I169" s="1151"/>
      <c r="J169" s="1151"/>
      <c r="K169" s="1151"/>
      <c r="L169" s="1151"/>
      <c r="M169" s="1151"/>
      <c r="N169" s="1151"/>
      <c r="O169" s="1151"/>
      <c r="P169" s="1151"/>
      <c r="Q169" s="1087"/>
      <c r="Y169" s="1088"/>
      <c r="Z169" s="1079"/>
      <c r="AA169" s="1079"/>
      <c r="AB169" s="1079"/>
      <c r="AC169" s="1079"/>
      <c r="AD169" s="1079"/>
      <c r="AE169" s="1079"/>
      <c r="AF169" s="1080"/>
    </row>
    <row r="170" spans="1:32" ht="15.65" customHeight="1" x14ac:dyDescent="0.25">
      <c r="A170" s="1164"/>
      <c r="B170" s="1089"/>
      <c r="C170" s="1090"/>
      <c r="D170" s="1090"/>
      <c r="E170" s="1091" t="s">
        <v>352</v>
      </c>
      <c r="F170" s="1091" t="s">
        <v>353</v>
      </c>
      <c r="G170" s="1091" t="s">
        <v>184</v>
      </c>
      <c r="H170" s="1111"/>
      <c r="I170" s="1111"/>
      <c r="J170" s="1093"/>
      <c r="K170" s="1093"/>
      <c r="L170" s="1093"/>
      <c r="M170" s="1093"/>
      <c r="N170" s="1093"/>
      <c r="O170" s="1091" t="s">
        <v>323</v>
      </c>
      <c r="P170" s="1093"/>
      <c r="Q170" s="1112"/>
      <c r="Y170" s="1088"/>
      <c r="Z170" s="1079"/>
      <c r="AA170" s="1079"/>
      <c r="AB170" s="1079"/>
      <c r="AC170" s="1079"/>
      <c r="AD170" s="1079"/>
      <c r="AE170" s="1079"/>
      <c r="AF170" s="1080"/>
    </row>
    <row r="171" spans="1:32" ht="15.65" customHeight="1" x14ac:dyDescent="0.25">
      <c r="A171" s="1164"/>
      <c r="B171" s="1095"/>
      <c r="C171" s="1096"/>
      <c r="D171" s="1096"/>
      <c r="E171" s="1106"/>
      <c r="F171" s="1096"/>
      <c r="G171" s="1096"/>
      <c r="H171" s="1098"/>
      <c r="I171" s="1098"/>
      <c r="J171" s="1096"/>
      <c r="K171" s="1096"/>
      <c r="L171" s="1096"/>
      <c r="M171" s="1096"/>
      <c r="N171" s="1096"/>
      <c r="O171" s="1096"/>
      <c r="P171" s="1096"/>
      <c r="Q171" s="1099"/>
      <c r="Y171" s="1299" t="s">
        <v>354</v>
      </c>
      <c r="Z171" s="1079"/>
      <c r="AA171" s="1079"/>
      <c r="AB171" s="1079"/>
      <c r="AC171" s="1079"/>
      <c r="AD171" s="1079"/>
      <c r="AE171" s="1079"/>
      <c r="AF171" s="1080"/>
    </row>
    <row r="172" spans="1:32" ht="15.65" customHeight="1" x14ac:dyDescent="0.25">
      <c r="A172" s="1164"/>
      <c r="B172" s="1095"/>
      <c r="C172" s="1096" t="s">
        <v>355</v>
      </c>
      <c r="D172" s="1096"/>
      <c r="E172" s="572"/>
      <c r="F172" s="573"/>
      <c r="G172" s="1300" t="s">
        <v>183</v>
      </c>
      <c r="H172" s="1098"/>
      <c r="I172" s="1098"/>
      <c r="J172" s="1096"/>
      <c r="K172" s="1096"/>
      <c r="L172" s="1096"/>
      <c r="M172" s="1096"/>
      <c r="N172" s="1096"/>
      <c r="O172" s="1096"/>
      <c r="P172" s="1096"/>
      <c r="Q172" s="1099"/>
      <c r="Y172" s="1153" t="s">
        <v>116</v>
      </c>
      <c r="Z172" s="1079"/>
      <c r="AA172" s="1079"/>
      <c r="AB172" s="1079"/>
      <c r="AC172" s="1079"/>
      <c r="AD172" s="1079"/>
      <c r="AE172" s="1079"/>
      <c r="AF172" s="1080"/>
    </row>
    <row r="173" spans="1:32" ht="15.65" customHeight="1" x14ac:dyDescent="0.25">
      <c r="A173" s="1164"/>
      <c r="B173" s="1095"/>
      <c r="C173" s="1113" t="s">
        <v>356</v>
      </c>
      <c r="D173" s="1096"/>
      <c r="E173" s="407"/>
      <c r="F173" s="480"/>
      <c r="G173" s="1301" t="s">
        <v>183</v>
      </c>
      <c r="H173" s="1098"/>
      <c r="I173" s="1098"/>
      <c r="J173" s="1096"/>
      <c r="K173" s="1096"/>
      <c r="L173" s="1096"/>
      <c r="M173" s="1096"/>
      <c r="N173" s="1182"/>
      <c r="O173" s="1183">
        <f>IF(F173="",0,IFERROR(Y173,'Hidden Lists and Summaries'!$C$158))</f>
        <v>0</v>
      </c>
      <c r="P173" s="1184" t="s">
        <v>90</v>
      </c>
      <c r="Q173" s="1099"/>
      <c r="Y173" s="1302">
        <f>F173*VLOOKUP(G173,massConv[#All],3,FALSE)</f>
        <v>0</v>
      </c>
      <c r="Z173" s="1079"/>
      <c r="AA173" s="1079"/>
      <c r="AB173" s="1079"/>
      <c r="AC173" s="1079"/>
      <c r="AD173" s="1079"/>
      <c r="AE173" s="1079"/>
      <c r="AF173" s="1080"/>
    </row>
    <row r="174" spans="1:32" ht="15.65" customHeight="1" x14ac:dyDescent="0.25">
      <c r="A174" s="1164"/>
      <c r="B174" s="1105"/>
      <c r="C174" s="1106"/>
      <c r="D174" s="1106"/>
      <c r="E174" s="1106"/>
      <c r="F174" s="1106"/>
      <c r="G174" s="1106"/>
      <c r="H174" s="1115"/>
      <c r="I174" s="1115"/>
      <c r="J174" s="1106"/>
      <c r="K174" s="1106"/>
      <c r="L174" s="1106"/>
      <c r="M174" s="1106"/>
      <c r="N174" s="1144" t="s">
        <v>120</v>
      </c>
      <c r="O174" s="1145">
        <f>SUM(O173)</f>
        <v>0</v>
      </c>
      <c r="P174" s="1146" t="s">
        <v>90</v>
      </c>
      <c r="Q174" s="1107"/>
      <c r="Y174" s="1088"/>
      <c r="Z174" s="1079"/>
      <c r="AA174" s="1079"/>
      <c r="AB174" s="1079"/>
      <c r="AC174" s="1079"/>
      <c r="AD174" s="1079"/>
      <c r="AE174" s="1079"/>
      <c r="AF174" s="1080"/>
    </row>
    <row r="175" spans="1:32" s="1303" customFormat="1" ht="15.65" customHeight="1" x14ac:dyDescent="0.25">
      <c r="B175" s="1304"/>
      <c r="C175" s="1304"/>
      <c r="D175" s="1304"/>
      <c r="E175" s="1304"/>
      <c r="F175" s="1304"/>
      <c r="G175" s="1304"/>
      <c r="H175" s="1305"/>
      <c r="I175" s="1305"/>
      <c r="J175" s="1304"/>
      <c r="K175" s="1304"/>
      <c r="L175" s="1304"/>
      <c r="M175" s="1304"/>
      <c r="N175" s="1306"/>
      <c r="O175" s="1304"/>
      <c r="P175" s="1304"/>
      <c r="Q175" s="1304"/>
      <c r="Y175" s="1307"/>
      <c r="Z175" s="1305"/>
      <c r="AA175" s="1305"/>
      <c r="AB175" s="1305"/>
      <c r="AC175" s="1305"/>
      <c r="AD175" s="1305"/>
      <c r="AE175" s="1305"/>
      <c r="AF175" s="1308"/>
    </row>
    <row r="176" spans="1:32" s="1303" customFormat="1" ht="15.65" customHeight="1" x14ac:dyDescent="0.25">
      <c r="B176" s="1309" t="str">
        <f ca="1">IF(H201&gt;0,"NOTE: Reductions and co-allocations exceed operational emissions. Excess reductions and Co-Allocations equivalent to " &amp; H201 &amp;"kg CO2-e","")</f>
        <v/>
      </c>
      <c r="C176" s="1304"/>
      <c r="D176" s="1304"/>
      <c r="E176" s="1304"/>
      <c r="F176" s="1304"/>
      <c r="G176" s="1304"/>
      <c r="H176" s="1305"/>
      <c r="I176" s="1305"/>
      <c r="J176" s="1304"/>
      <c r="K176" s="1304"/>
      <c r="L176" s="1304"/>
      <c r="M176" s="1304"/>
      <c r="N176" s="1306"/>
      <c r="O176" s="1304"/>
      <c r="P176" s="1304"/>
      <c r="Q176" s="1304"/>
      <c r="Y176" s="1307"/>
      <c r="Z176" s="1305"/>
      <c r="AA176" s="1305"/>
      <c r="AB176" s="1305"/>
      <c r="AC176" s="1305"/>
      <c r="AD176" s="1305"/>
      <c r="AE176" s="1305"/>
      <c r="AF176" s="1308"/>
    </row>
    <row r="177" spans="1:32" s="1303" customFormat="1" ht="15.65" customHeight="1" x14ac:dyDescent="0.25">
      <c r="B177" s="1304"/>
      <c r="C177" s="1304"/>
      <c r="D177" s="1304"/>
      <c r="E177" s="1304"/>
      <c r="F177" s="1304"/>
      <c r="G177" s="1304"/>
      <c r="H177" s="1305"/>
      <c r="I177" s="1305"/>
      <c r="J177" s="1304"/>
      <c r="K177" s="1304"/>
      <c r="L177" s="1304"/>
      <c r="M177" s="1304"/>
      <c r="N177" s="1306"/>
      <c r="O177" s="1304"/>
      <c r="P177" s="1304"/>
      <c r="Q177" s="1304"/>
      <c r="Y177" s="1307"/>
      <c r="Z177" s="1305"/>
      <c r="AA177" s="1305"/>
      <c r="AB177" s="1305"/>
      <c r="AC177" s="1305"/>
      <c r="AD177" s="1305"/>
      <c r="AE177" s="1305"/>
      <c r="AF177" s="1308"/>
    </row>
    <row r="178" spans="1:32" ht="15.65" customHeight="1" x14ac:dyDescent="0.25">
      <c r="A178" s="1164"/>
      <c r="B178" s="1070"/>
      <c r="C178" s="1070"/>
      <c r="D178" s="1070"/>
      <c r="E178" s="1070"/>
      <c r="F178" s="1070"/>
      <c r="G178" s="1070"/>
      <c r="H178" s="1070"/>
      <c r="I178" s="1070"/>
      <c r="J178" s="1070"/>
      <c r="K178" s="1070"/>
      <c r="L178" s="1070"/>
      <c r="M178" s="1070"/>
      <c r="N178" s="1070"/>
      <c r="O178" s="1070"/>
      <c r="P178" s="1070"/>
      <c r="Q178" s="1070"/>
      <c r="Y178" s="1088"/>
      <c r="Z178" s="1079"/>
      <c r="AA178" s="1079"/>
      <c r="AB178" s="1079"/>
      <c r="AC178" s="1079"/>
      <c r="AD178" s="1079"/>
      <c r="AE178" s="1079"/>
      <c r="AF178" s="1080"/>
    </row>
    <row r="179" spans="1:32" ht="15.65" customHeight="1" x14ac:dyDescent="0.25">
      <c r="A179" s="1164"/>
      <c r="B179" s="1070"/>
      <c r="C179" s="1074" t="s">
        <v>357</v>
      </c>
      <c r="D179" s="1070"/>
      <c r="E179" s="1070"/>
      <c r="F179" s="1070"/>
      <c r="G179" s="1070"/>
      <c r="H179" s="1070"/>
      <c r="I179" s="1070"/>
      <c r="J179" s="1070"/>
      <c r="K179" s="1070"/>
      <c r="L179" s="1070"/>
      <c r="M179" s="1070"/>
      <c r="N179" s="1070"/>
      <c r="O179" s="1070"/>
      <c r="P179" s="1070"/>
      <c r="Q179" s="1070"/>
      <c r="Y179" s="1088"/>
      <c r="Z179" s="1079"/>
      <c r="AA179" s="1079"/>
      <c r="AB179" s="1079"/>
      <c r="AC179" s="1079"/>
      <c r="AD179" s="1079"/>
      <c r="AE179" s="1079"/>
      <c r="AF179" s="1080"/>
    </row>
    <row r="180" spans="1:32" ht="15.65" customHeight="1" x14ac:dyDescent="0.25">
      <c r="A180" s="1164"/>
      <c r="B180" s="1070"/>
      <c r="C180" s="1070"/>
      <c r="D180" s="1070"/>
      <c r="E180" s="1070"/>
      <c r="F180" s="1070"/>
      <c r="G180" s="1070"/>
      <c r="H180" s="1070"/>
      <c r="I180" s="1070"/>
      <c r="J180" s="1070"/>
      <c r="K180" s="1070"/>
      <c r="L180" s="1070"/>
      <c r="M180" s="1070"/>
      <c r="N180" s="1070"/>
      <c r="O180" s="1070"/>
      <c r="P180" s="1070"/>
      <c r="Q180" s="1070"/>
      <c r="Y180" s="1088"/>
      <c r="Z180" s="1079"/>
      <c r="AA180" s="1079"/>
      <c r="AB180" s="1079"/>
      <c r="AC180" s="1079"/>
      <c r="AD180" s="1079"/>
      <c r="AE180" s="1079"/>
      <c r="AF180" s="1080"/>
    </row>
    <row r="181" spans="1:32" ht="15.65" customHeight="1" x14ac:dyDescent="0.25">
      <c r="A181" s="1164"/>
      <c r="B181" s="1118"/>
      <c r="C181" s="1118"/>
      <c r="D181" s="1118"/>
      <c r="E181" s="1118"/>
      <c r="F181" s="1118"/>
      <c r="G181" s="1118"/>
      <c r="H181" s="1118"/>
      <c r="I181" s="1118"/>
      <c r="J181" s="1118"/>
      <c r="K181" s="1118"/>
      <c r="L181" s="1118"/>
      <c r="M181" s="1118"/>
      <c r="N181" s="1118"/>
      <c r="O181" s="1118"/>
      <c r="P181" s="1118"/>
      <c r="Q181" s="1118"/>
      <c r="Y181" s="1088"/>
      <c r="Z181" s="1079"/>
      <c r="AA181" s="1079"/>
      <c r="AB181" s="1079"/>
      <c r="AC181" s="1079"/>
      <c r="AD181" s="1079"/>
      <c r="AE181" s="1079"/>
      <c r="AF181" s="1080"/>
    </row>
    <row r="182" spans="1:32" ht="15.65" customHeight="1" x14ac:dyDescent="0.25">
      <c r="A182" s="1164"/>
      <c r="E182" s="1299" t="s">
        <v>358</v>
      </c>
      <c r="F182" s="1299" t="s">
        <v>359</v>
      </c>
      <c r="G182" s="1299" t="s">
        <v>360</v>
      </c>
      <c r="H182" s="1299" t="s">
        <v>361</v>
      </c>
      <c r="I182" s="1299" t="s">
        <v>362</v>
      </c>
      <c r="Y182" s="1088"/>
      <c r="Z182" s="1079"/>
      <c r="AA182" s="1079"/>
      <c r="AB182" s="1079"/>
      <c r="AC182" s="1079"/>
      <c r="AD182" s="1079"/>
      <c r="AE182" s="1079"/>
      <c r="AF182" s="1080"/>
    </row>
    <row r="183" spans="1:32" ht="15.65" customHeight="1" x14ac:dyDescent="0.25">
      <c r="A183" s="1164"/>
      <c r="E183" t="s">
        <v>907</v>
      </c>
      <c r="F183" t="s">
        <v>804</v>
      </c>
      <c r="G183"/>
      <c r="H183" t="str">
        <f ca="1">IFERROR(SUMIF(AmmoniaCrackingEmissionsBreakdown[Major category],'Hidden Lists and Summaries'!$B$5,AmmoniaCrackingEmissionsBreakdown[Emissions (kg CO2-e)]), 'Hidden Lists and Summaries'!$C$158)</f>
        <v>Error -  Review inputs</v>
      </c>
      <c r="I183" t="s">
        <v>90</v>
      </c>
      <c r="Y183" s="1088"/>
      <c r="Z183" s="1079"/>
      <c r="AA183" s="1079"/>
      <c r="AB183" s="1079"/>
      <c r="AC183" s="1079"/>
      <c r="AD183" s="1079"/>
      <c r="AE183" s="1079"/>
      <c r="AF183" s="1080"/>
    </row>
    <row r="184" spans="1:32" ht="15.65" customHeight="1" x14ac:dyDescent="0.25">
      <c r="A184" s="1164"/>
      <c r="E184" t="s">
        <v>907</v>
      </c>
      <c r="F184" t="s">
        <v>365</v>
      </c>
      <c r="G184"/>
      <c r="H184">
        <f>IFERROR(H278, 'Hidden Lists and Summaries'!$C$158)</f>
        <v>0</v>
      </c>
      <c r="I184" t="s">
        <v>90</v>
      </c>
      <c r="Y184" s="263"/>
      <c r="Z184" s="1310"/>
      <c r="AA184" s="1079"/>
      <c r="AB184" s="1079"/>
      <c r="AC184" s="1079"/>
      <c r="AD184" s="1079"/>
      <c r="AE184" s="1079"/>
      <c r="AF184" s="1080"/>
    </row>
    <row r="185" spans="1:32" ht="15.65" customHeight="1" x14ac:dyDescent="0.25">
      <c r="A185" s="1164"/>
      <c r="E185" t="s">
        <v>907</v>
      </c>
      <c r="F185" t="s">
        <v>366</v>
      </c>
      <c r="G185"/>
      <c r="H185">
        <f>IFERROR(H279, 'Hidden Lists and Summaries'!$C$158)</f>
        <v>0</v>
      </c>
      <c r="I185" t="s">
        <v>90</v>
      </c>
      <c r="Y185" s="263"/>
      <c r="Z185" s="1079"/>
      <c r="AA185" s="1079"/>
      <c r="AB185" s="1079"/>
      <c r="AC185" s="1079"/>
      <c r="AD185" s="1079"/>
      <c r="AE185" s="1079"/>
      <c r="AF185" s="1080"/>
    </row>
    <row r="186" spans="1:32" ht="15.65" customHeight="1" x14ac:dyDescent="0.25">
      <c r="A186" s="1164"/>
      <c r="E186" t="s">
        <v>907</v>
      </c>
      <c r="F186" t="s">
        <v>118</v>
      </c>
      <c r="G186"/>
      <c r="H186">
        <f>IFERROR(H280, 'Hidden Lists and Summaries'!$C$158)</f>
        <v>0</v>
      </c>
      <c r="I186" t="s">
        <v>90</v>
      </c>
      <c r="Y186" s="263"/>
      <c r="Z186" s="1079"/>
      <c r="AA186" s="1079"/>
      <c r="AB186" s="1079"/>
      <c r="AC186" s="1079"/>
      <c r="AD186" s="1079"/>
      <c r="AE186" s="1079"/>
      <c r="AF186" s="1080"/>
    </row>
    <row r="187" spans="1:32" ht="15.65" customHeight="1" x14ac:dyDescent="0.25">
      <c r="A187" s="1164"/>
      <c r="E187" t="s">
        <v>907</v>
      </c>
      <c r="F187" t="s">
        <v>367</v>
      </c>
      <c r="G187"/>
      <c r="H187">
        <f>IFERROR(H281, 'Hidden Lists and Summaries'!$C$158)</f>
        <v>0</v>
      </c>
      <c r="I187" t="s">
        <v>90</v>
      </c>
      <c r="Y187" s="263"/>
      <c r="Z187" s="1079"/>
      <c r="AA187" s="1079"/>
      <c r="AB187" s="1079"/>
      <c r="AC187" s="1079"/>
      <c r="AD187" s="1079"/>
      <c r="AE187" s="1079"/>
      <c r="AF187" s="1080"/>
    </row>
    <row r="188" spans="1:32" ht="15.65" customHeight="1" x14ac:dyDescent="0.25">
      <c r="A188" s="1164"/>
      <c r="E188" t="s">
        <v>907</v>
      </c>
      <c r="F188" t="s">
        <v>368</v>
      </c>
      <c r="G188"/>
      <c r="H188">
        <f>IFERROR(H282, 'Hidden Lists and Summaries'!$C$158)</f>
        <v>0</v>
      </c>
      <c r="I188" t="s">
        <v>90</v>
      </c>
      <c r="Y188" s="263"/>
      <c r="Z188" s="1079"/>
      <c r="AA188" s="1079"/>
      <c r="AB188" s="1079"/>
      <c r="AC188" s="1079"/>
      <c r="AD188" s="1079"/>
      <c r="AE188" s="1079"/>
      <c r="AF188" s="1080"/>
    </row>
    <row r="189" spans="1:32" x14ac:dyDescent="0.25">
      <c r="A189" s="1164"/>
      <c r="E189" t="s">
        <v>907</v>
      </c>
      <c r="F189" t="s">
        <v>370</v>
      </c>
      <c r="G189"/>
      <c r="H189">
        <f ca="1">IFERROR(SUM(H183:H188),'Hidden Lists and Summaries'!$C$158)</f>
        <v>0</v>
      </c>
      <c r="I189" t="s">
        <v>90</v>
      </c>
      <c r="Y189" s="263"/>
      <c r="Z189" s="1079"/>
      <c r="AA189" s="1079"/>
      <c r="AB189" s="1079"/>
      <c r="AC189" s="1079"/>
      <c r="AD189" s="1079"/>
      <c r="AE189" s="1079"/>
      <c r="AF189" s="1080"/>
    </row>
    <row r="190" spans="1:32" x14ac:dyDescent="0.25">
      <c r="A190" s="1164"/>
      <c r="E190" t="s">
        <v>907</v>
      </c>
      <c r="F190" t="s">
        <v>371</v>
      </c>
      <c r="G190"/>
      <c r="H190" t="str">
        <f ca="1">IFERROR(H189/(ammCrack_quantityProduced_tonnes*1000),'Hidden Lists and Summaries'!$C$158)</f>
        <v>Error -  Review inputs</v>
      </c>
      <c r="I190" t="s">
        <v>908</v>
      </c>
      <c r="Y190" s="263"/>
      <c r="Z190" s="1079"/>
      <c r="AA190" s="1079"/>
      <c r="AB190" s="1079"/>
      <c r="AC190" s="1079"/>
      <c r="AD190" s="1079"/>
      <c r="AE190" s="1079"/>
      <c r="AF190" s="1080"/>
    </row>
    <row r="191" spans="1:32" x14ac:dyDescent="0.25">
      <c r="A191" s="1164"/>
      <c r="E191" t="s">
        <v>907</v>
      </c>
      <c r="F191" t="s">
        <v>373</v>
      </c>
      <c r="G191"/>
      <c r="H191">
        <f>H283</f>
        <v>0</v>
      </c>
      <c r="I191" t="s">
        <v>90</v>
      </c>
      <c r="Y191" s="263"/>
      <c r="Z191" s="1079"/>
      <c r="AA191" s="1079"/>
      <c r="AB191" s="1079"/>
      <c r="AC191" s="1079"/>
      <c r="AD191" s="1079"/>
      <c r="AE191" s="1079"/>
      <c r="AF191" s="1080"/>
    </row>
    <row r="192" spans="1:32" ht="15.65" customHeight="1" x14ac:dyDescent="0.25">
      <c r="A192" s="1164"/>
      <c r="E192" t="s">
        <v>907</v>
      </c>
      <c r="F192" t="s">
        <v>810</v>
      </c>
      <c r="G192"/>
      <c r="H192">
        <f>IFERROR(H284,'Hidden Lists and Summaries'!$C$158)</f>
        <v>0</v>
      </c>
      <c r="I192" t="s">
        <v>90</v>
      </c>
      <c r="Y192" s="263"/>
      <c r="Z192" s="1079"/>
      <c r="AA192" s="1079"/>
      <c r="AB192" s="1079"/>
      <c r="AC192" s="1079"/>
      <c r="AD192" s="1079"/>
      <c r="AE192" s="1079"/>
      <c r="AF192" s="1080"/>
    </row>
    <row r="193" spans="1:43" ht="15.65" customHeight="1" x14ac:dyDescent="0.25">
      <c r="A193" s="1164"/>
      <c r="E193" t="s">
        <v>907</v>
      </c>
      <c r="F193" t="s">
        <v>811</v>
      </c>
      <c r="G193"/>
      <c r="H193">
        <f>IFERROR(H285,'Hidden Lists and Summaries'!$C$158)</f>
        <v>0</v>
      </c>
      <c r="I193" t="s">
        <v>90</v>
      </c>
      <c r="Y193" s="263"/>
      <c r="Z193" s="1079"/>
      <c r="AA193" s="1079"/>
      <c r="AB193" s="1079"/>
      <c r="AC193" s="1079"/>
      <c r="AD193" s="1079"/>
      <c r="AE193" s="1079"/>
      <c r="AF193" s="1080"/>
    </row>
    <row r="194" spans="1:43" ht="15.65" customHeight="1" x14ac:dyDescent="0.25">
      <c r="A194" s="1164"/>
      <c r="E194" t="s">
        <v>907</v>
      </c>
      <c r="F194" t="s">
        <v>909</v>
      </c>
      <c r="G194"/>
      <c r="H194">
        <f>IFERROR(H286,'Hidden Lists and Summaries'!$C$158)</f>
        <v>0</v>
      </c>
      <c r="I194" t="s">
        <v>90</v>
      </c>
      <c r="Y194" s="1088"/>
      <c r="Z194" s="1079"/>
      <c r="AA194" s="1079"/>
      <c r="AB194" s="1079"/>
      <c r="AC194" s="1079"/>
      <c r="AD194" s="1079"/>
      <c r="AE194" s="1079"/>
      <c r="AF194" s="1080"/>
    </row>
    <row r="195" spans="1:43" ht="15.65" customHeight="1" x14ac:dyDescent="0.25">
      <c r="A195" s="1164"/>
      <c r="E195" t="s">
        <v>907</v>
      </c>
      <c r="F195" t="s">
        <v>818</v>
      </c>
      <c r="G195"/>
      <c r="H195" s="227">
        <f>H287</f>
        <v>0</v>
      </c>
      <c r="I195" t="s">
        <v>90</v>
      </c>
      <c r="Y195" s="1088"/>
      <c r="Z195" s="1079"/>
      <c r="AA195" s="1079"/>
      <c r="AB195" s="1079"/>
      <c r="AC195" s="1079"/>
      <c r="AD195" s="1079"/>
      <c r="AE195" s="1079"/>
      <c r="AF195" s="1080"/>
    </row>
    <row r="196" spans="1:43" ht="15.65" customHeight="1" x14ac:dyDescent="0.25">
      <c r="A196" s="1164"/>
      <c r="E196" t="s">
        <v>907</v>
      </c>
      <c r="F196" t="s">
        <v>814</v>
      </c>
      <c r="G196"/>
      <c r="H196" s="227">
        <f>H289</f>
        <v>0</v>
      </c>
      <c r="I196" t="s">
        <v>90</v>
      </c>
      <c r="Y196" s="1311"/>
      <c r="Z196" s="1079"/>
      <c r="AA196" s="1079"/>
      <c r="AB196" s="1079"/>
      <c r="AC196" s="1079"/>
      <c r="AD196" s="1079"/>
      <c r="AE196" s="1079"/>
      <c r="AF196" s="1080"/>
    </row>
    <row r="197" spans="1:43" ht="15.65" customHeight="1" x14ac:dyDescent="0.25">
      <c r="A197" s="1164"/>
      <c r="E197" t="s">
        <v>907</v>
      </c>
      <c r="F197" t="s">
        <v>819</v>
      </c>
      <c r="G197"/>
      <c r="H197" s="227">
        <f>H292</f>
        <v>0</v>
      </c>
      <c r="I197" t="s">
        <v>90</v>
      </c>
      <c r="Y197" s="1311"/>
      <c r="Z197" s="1079"/>
      <c r="AA197" s="1079"/>
      <c r="AB197" s="1079"/>
      <c r="AC197" s="1079"/>
      <c r="AD197" s="1079"/>
      <c r="AE197" s="1079"/>
      <c r="AF197" s="1080"/>
    </row>
    <row r="198" spans="1:43" ht="15.65" customHeight="1" x14ac:dyDescent="0.25">
      <c r="A198" s="1164"/>
      <c r="E198" t="s">
        <v>907</v>
      </c>
      <c r="F198" t="s">
        <v>384</v>
      </c>
      <c r="G198"/>
      <c r="H198">
        <f>IFERROR(H288,'Hidden Lists and Summaries'!$C$158)</f>
        <v>0</v>
      </c>
      <c r="I198" t="s">
        <v>90</v>
      </c>
      <c r="Y198" s="1165"/>
      <c r="Z198" s="1079"/>
      <c r="AA198" s="1079"/>
      <c r="AB198" s="1079"/>
      <c r="AC198" s="1079"/>
      <c r="AD198" s="1079"/>
      <c r="AE198" s="1079"/>
      <c r="AF198" s="1080"/>
    </row>
    <row r="199" spans="1:43" ht="15.65" customHeight="1" x14ac:dyDescent="0.25">
      <c r="A199" s="1164"/>
      <c r="E199" t="s">
        <v>907</v>
      </c>
      <c r="F199" t="s">
        <v>385</v>
      </c>
      <c r="G199"/>
      <c r="H199">
        <f ca="1">IFERROR(H189-SUM(H192:H197)+H198,'Hidden Lists and Summaries'!$C$158)</f>
        <v>0</v>
      </c>
      <c r="I199" t="s">
        <v>90</v>
      </c>
      <c r="Y199" s="1165"/>
      <c r="Z199" s="1079"/>
      <c r="AA199" s="1079"/>
      <c r="AB199" s="1079"/>
      <c r="AC199" s="1079"/>
      <c r="AD199" s="1079"/>
      <c r="AE199" s="1079"/>
      <c r="AF199" s="1080"/>
    </row>
    <row r="200" spans="1:43" ht="15.65" customHeight="1" x14ac:dyDescent="0.25">
      <c r="A200" s="1164"/>
      <c r="E200" t="s">
        <v>907</v>
      </c>
      <c r="F200" t="s">
        <v>386</v>
      </c>
      <c r="G200"/>
      <c r="H200">
        <f ca="1">IFERROR(MAX(H189-SUM(H192:H197)+H198,0),'Hidden Lists and Summaries'!$C$158)</f>
        <v>0</v>
      </c>
      <c r="I200" t="s">
        <v>90</v>
      </c>
      <c r="Y200" s="1165"/>
      <c r="Z200" s="1079"/>
      <c r="AA200" s="1079"/>
      <c r="AB200" s="1079"/>
      <c r="AC200" s="1079"/>
      <c r="AD200" s="1079"/>
      <c r="AE200" s="1079"/>
      <c r="AF200" s="1080"/>
    </row>
    <row r="201" spans="1:43" ht="15.65" customHeight="1" x14ac:dyDescent="0.25">
      <c r="A201" s="1164"/>
      <c r="E201" t="s">
        <v>907</v>
      </c>
      <c r="F201" t="s">
        <v>387</v>
      </c>
      <c r="G201"/>
      <c r="H201">
        <f ca="1">IFERROR(H200-H199,'Hidden Lists and Summaries'!$C$158)</f>
        <v>0</v>
      </c>
      <c r="I201" t="s">
        <v>90</v>
      </c>
      <c r="Y201" s="1165"/>
      <c r="Z201" s="1079"/>
      <c r="AA201" s="1079"/>
      <c r="AB201" s="1079"/>
      <c r="AC201" s="1079"/>
      <c r="AD201" s="1079"/>
      <c r="AE201" s="1079"/>
      <c r="AF201" s="1080"/>
    </row>
    <row r="202" spans="1:43" x14ac:dyDescent="0.25">
      <c r="A202" s="1164"/>
      <c r="E202" t="s">
        <v>907</v>
      </c>
      <c r="F202" t="s">
        <v>388</v>
      </c>
      <c r="G202"/>
      <c r="H202" t="str">
        <f ca="1">IFERROR(H200/(ammCrack_quantityProduced_tonnes*1000),'Hidden Lists and Summaries'!$C$158)</f>
        <v>Error -  Review inputs</v>
      </c>
      <c r="I202" t="s">
        <v>908</v>
      </c>
      <c r="Y202" s="1088"/>
      <c r="Z202" s="1079"/>
      <c r="AA202" s="1079"/>
      <c r="AB202" s="1079"/>
      <c r="AC202" s="1079"/>
      <c r="AD202" s="1079"/>
      <c r="AE202" s="1079"/>
      <c r="AF202" s="1080"/>
    </row>
    <row r="203" spans="1:43" x14ac:dyDescent="0.25">
      <c r="A203" s="1164"/>
      <c r="E203" t="s">
        <v>907</v>
      </c>
      <c r="F203" t="s">
        <v>389</v>
      </c>
      <c r="G203"/>
      <c r="H203">
        <f>H290</f>
        <v>0</v>
      </c>
      <c r="I203" t="s">
        <v>90</v>
      </c>
      <c r="Y203" s="1088"/>
      <c r="Z203" s="1079"/>
      <c r="AA203" s="1079"/>
      <c r="AB203" s="1079"/>
      <c r="AC203" s="1079"/>
      <c r="AD203" s="1079"/>
      <c r="AE203" s="1079"/>
      <c r="AF203" s="1080"/>
    </row>
    <row r="204" spans="1:43" ht="15.65" customHeight="1" x14ac:dyDescent="0.25">
      <c r="A204" s="1164"/>
      <c r="E204" t="s">
        <v>907</v>
      </c>
      <c r="F204" t="s">
        <v>390</v>
      </c>
      <c r="G204"/>
      <c r="H204">
        <f>H291</f>
        <v>0</v>
      </c>
      <c r="I204" t="s">
        <v>90</v>
      </c>
      <c r="Y204" s="1165"/>
      <c r="Z204" s="1079"/>
      <c r="AA204" s="1079"/>
      <c r="AB204" s="1079"/>
      <c r="AC204" s="1079"/>
      <c r="AD204" s="1079"/>
      <c r="AE204" s="1079"/>
      <c r="AF204" s="1080"/>
    </row>
    <row r="205" spans="1:43" ht="15.65" customHeight="1" x14ac:dyDescent="0.25">
      <c r="A205" s="1164"/>
      <c r="E205" t="s">
        <v>907</v>
      </c>
      <c r="F205" t="s">
        <v>391</v>
      </c>
      <c r="G205"/>
      <c r="H205">
        <f>SUM(H203:H204)</f>
        <v>0</v>
      </c>
      <c r="I205" t="s">
        <v>90</v>
      </c>
      <c r="Y205" s="1165"/>
      <c r="Z205" s="1079"/>
      <c r="AA205" s="1079"/>
      <c r="AB205" s="1079"/>
      <c r="AC205" s="1079"/>
      <c r="AD205" s="1079"/>
      <c r="AE205" s="1079"/>
      <c r="AF205" s="1080"/>
    </row>
    <row r="206" spans="1:43" ht="15.65" customHeight="1" x14ac:dyDescent="0.25">
      <c r="A206" s="1164"/>
      <c r="E206" t="s">
        <v>907</v>
      </c>
      <c r="F206" t="s">
        <v>392</v>
      </c>
      <c r="G206"/>
      <c r="H206" t="e">
        <f>H205/(ammCrack_quantityProduced_tonnes*1000)</f>
        <v>#DIV/0!</v>
      </c>
      <c r="I206" t="s">
        <v>372</v>
      </c>
      <c r="Y206" s="1367"/>
      <c r="Z206" s="1142"/>
      <c r="AA206" s="1142"/>
      <c r="AB206" s="1142"/>
      <c r="AC206" s="1142"/>
      <c r="AD206" s="1142"/>
      <c r="AE206" s="1142"/>
      <c r="AF206" s="1143"/>
    </row>
    <row r="207" spans="1:43" ht="15.65" customHeight="1" x14ac:dyDescent="0.25">
      <c r="E207" t="s">
        <v>907</v>
      </c>
      <c r="F207" t="s">
        <v>393</v>
      </c>
      <c r="G207"/>
      <c r="H207">
        <f>downstream_transport_and_storage_losses</f>
        <v>0</v>
      </c>
      <c r="I207" t="s">
        <v>394</v>
      </c>
      <c r="O207" s="1473"/>
    </row>
    <row r="208" spans="1:43" ht="15.65" customHeight="1" x14ac:dyDescent="0.25">
      <c r="E208" t="s">
        <v>907</v>
      </c>
      <c r="F208" t="s">
        <v>398</v>
      </c>
      <c r="G208"/>
      <c r="H208">
        <f>ammCrack_quantityProduced_tonnes*1000-H207</f>
        <v>0</v>
      </c>
      <c r="I208" t="s">
        <v>394</v>
      </c>
      <c r="X208" s="1234"/>
      <c r="Y208" s="1234"/>
      <c r="Z208" s="1234"/>
      <c r="AA208" s="1234"/>
      <c r="AB208" s="1234"/>
      <c r="AC208" s="1234"/>
      <c r="AD208" s="1234"/>
      <c r="AE208" s="1234"/>
      <c r="AF208" s="1234"/>
      <c r="AG208" s="1234"/>
      <c r="AH208" s="1234"/>
      <c r="AI208" s="1234"/>
      <c r="AJ208" s="1234"/>
      <c r="AK208" s="1234"/>
      <c r="AL208" s="1234"/>
      <c r="AM208" s="1234"/>
      <c r="AN208" s="1234"/>
      <c r="AO208" s="1234"/>
      <c r="AP208" s="1234"/>
      <c r="AQ208" s="1234"/>
    </row>
    <row r="209" spans="5:43" ht="15.65" customHeight="1" x14ac:dyDescent="0.25">
      <c r="E209" t="s">
        <v>907</v>
      </c>
      <c r="F209" t="s">
        <v>395</v>
      </c>
      <c r="G209"/>
      <c r="H209" t="e">
        <f ca="1">H207/(ammCrack_quantityProduced_tonnes*1000)*SUM(H190,H206)</f>
        <v>#DIV/0!</v>
      </c>
      <c r="I209" t="s">
        <v>372</v>
      </c>
      <c r="X209" s="1234"/>
      <c r="Y209" s="1368"/>
      <c r="Z209" s="1368"/>
      <c r="AA209" s="1912"/>
      <c r="AB209" s="1912"/>
      <c r="AC209" s="1314"/>
      <c r="AD209" s="1369"/>
      <c r="AE209" s="1369"/>
      <c r="AF209" s="1369"/>
      <c r="AG209" s="1369"/>
      <c r="AH209" s="1369"/>
      <c r="AI209" s="1369"/>
      <c r="AJ209" s="1369"/>
      <c r="AK209" s="1369"/>
      <c r="AL209" s="1234"/>
      <c r="AM209" s="1234"/>
      <c r="AN209" s="1234"/>
      <c r="AO209" s="1234"/>
      <c r="AP209" s="1234"/>
      <c r="AQ209" s="1234"/>
    </row>
    <row r="210" spans="5:43" ht="15.65" customHeight="1" x14ac:dyDescent="0.25">
      <c r="E210" t="s">
        <v>907</v>
      </c>
      <c r="F210" t="s">
        <v>397</v>
      </c>
      <c r="G210"/>
      <c r="H210" t="e">
        <f ca="1">H207/(ammCrack_quantityProduced_tonnes*1000)*SUM(ammCrack_NetEmissionsIntensity,H206)</f>
        <v>#DIV/0!</v>
      </c>
      <c r="I210" t="s">
        <v>372</v>
      </c>
      <c r="X210" s="1234"/>
      <c r="Y210" s="1234"/>
      <c r="Z210" s="1234"/>
      <c r="AA210" s="1912"/>
      <c r="AB210" s="1912"/>
      <c r="AC210" s="1234"/>
      <c r="AD210" s="1369"/>
      <c r="AE210" s="1369"/>
      <c r="AF210" s="1369"/>
      <c r="AG210" s="1369"/>
      <c r="AH210" s="1369"/>
      <c r="AI210" s="1369"/>
      <c r="AJ210" s="1369"/>
      <c r="AK210" s="1369"/>
      <c r="AL210" s="1234"/>
      <c r="AM210" s="1234"/>
      <c r="AN210" s="1234"/>
      <c r="AO210" s="1234"/>
      <c r="AP210" s="1234"/>
      <c r="AQ210" s="1234"/>
    </row>
    <row r="211" spans="5:43" ht="15.65" customHeight="1" x14ac:dyDescent="0.25">
      <c r="E211" t="s">
        <v>907</v>
      </c>
      <c r="F211" t="s">
        <v>399</v>
      </c>
      <c r="G211"/>
      <c r="H211" t="e">
        <f ca="1">SUM(H190,H206,H209)</f>
        <v>#DIV/0!</v>
      </c>
      <c r="I211" t="s">
        <v>372</v>
      </c>
      <c r="X211" s="1234"/>
      <c r="Y211" s="1234"/>
      <c r="Z211" s="1234"/>
      <c r="AA211" s="1474"/>
      <c r="AB211" s="1234"/>
      <c r="AC211" s="1234"/>
      <c r="AD211" s="1234"/>
      <c r="AE211" s="1234"/>
      <c r="AF211" s="1234"/>
      <c r="AG211" s="1234"/>
      <c r="AH211" s="1234"/>
      <c r="AI211" s="1234"/>
      <c r="AJ211" s="1234"/>
      <c r="AK211" s="1234"/>
      <c r="AL211" s="1234"/>
      <c r="AM211" s="1234"/>
      <c r="AN211" s="1234"/>
      <c r="AO211" s="1234"/>
      <c r="AP211" s="1234"/>
      <c r="AQ211" s="1234"/>
    </row>
    <row r="212" spans="5:43" ht="15.65" customHeight="1" x14ac:dyDescent="0.25">
      <c r="E212" t="s">
        <v>907</v>
      </c>
      <c r="F212" t="s">
        <v>400</v>
      </c>
      <c r="G212"/>
      <c r="H212" t="e">
        <f ca="1">SUM(ammCrack_NetEmissionsIntensity,H206,H210)</f>
        <v>#DIV/0!</v>
      </c>
      <c r="I212" t="s">
        <v>372</v>
      </c>
      <c r="X212" s="1234"/>
      <c r="Y212" s="1234"/>
      <c r="Z212" s="1234"/>
      <c r="AA212" s="1474"/>
      <c r="AB212" s="1234"/>
      <c r="AC212" s="1234"/>
      <c r="AD212" s="1234"/>
      <c r="AE212" s="1234"/>
      <c r="AF212" s="1234"/>
      <c r="AG212" s="1234"/>
      <c r="AH212" s="1234"/>
      <c r="AI212" s="1234"/>
      <c r="AJ212" s="1234"/>
      <c r="AK212" s="1234"/>
      <c r="AL212" s="1234"/>
      <c r="AM212" s="1234"/>
      <c r="AN212" s="1234"/>
      <c r="AO212" s="1234"/>
      <c r="AP212" s="1234"/>
      <c r="AQ212" s="1234"/>
    </row>
    <row r="213" spans="5:43" ht="15.65" customHeight="1" x14ac:dyDescent="0.25">
      <c r="E213" t="s">
        <v>907</v>
      </c>
      <c r="F213" t="s">
        <v>407</v>
      </c>
      <c r="G213"/>
      <c r="H213">
        <f>ammCrack_quantityProduced_tonnes*1000</f>
        <v>0</v>
      </c>
      <c r="I213" t="s">
        <v>394</v>
      </c>
      <c r="X213" s="1234"/>
      <c r="Y213" s="1234"/>
      <c r="Z213" s="1234"/>
      <c r="AA213" s="1474"/>
      <c r="AB213" s="1234"/>
      <c r="AC213" s="1234"/>
      <c r="AD213" s="1234"/>
      <c r="AE213" s="1234"/>
      <c r="AF213" s="1234"/>
      <c r="AG213" s="1234"/>
      <c r="AH213" s="1234"/>
      <c r="AI213" s="1234"/>
      <c r="AJ213" s="1234"/>
      <c r="AK213" s="1234"/>
      <c r="AL213" s="1234"/>
      <c r="AM213" s="1234"/>
      <c r="AN213" s="1234"/>
      <c r="AO213" s="1234"/>
      <c r="AP213" s="1234"/>
      <c r="AQ213" s="1234"/>
    </row>
    <row r="214" spans="5:43" ht="15.65" customHeight="1" x14ac:dyDescent="0.25">
      <c r="E214" t="s">
        <v>907</v>
      </c>
      <c r="F214" t="s">
        <v>910</v>
      </c>
      <c r="G214"/>
      <c r="H214">
        <f>E23</f>
        <v>0</v>
      </c>
      <c r="I214"/>
      <c r="X214" s="1234"/>
      <c r="Y214" s="1234"/>
      <c r="Z214" s="1234"/>
      <c r="AA214" s="1234"/>
      <c r="AB214" s="1234"/>
      <c r="AC214" s="1234"/>
      <c r="AD214" s="1234"/>
      <c r="AE214" s="1234"/>
      <c r="AF214" s="1234"/>
      <c r="AG214" s="1234"/>
      <c r="AH214" s="1234"/>
      <c r="AI214" s="1234"/>
      <c r="AJ214" s="1234"/>
      <c r="AK214" s="1234"/>
      <c r="AL214" s="1234"/>
      <c r="AM214" s="1234"/>
      <c r="AN214" s="1234"/>
      <c r="AO214" s="1234"/>
      <c r="AP214" s="1234"/>
      <c r="AQ214" s="1234"/>
    </row>
    <row r="215" spans="5:43" ht="15.65" customHeight="1" x14ac:dyDescent="0.25">
      <c r="E215" t="s">
        <v>907</v>
      </c>
      <c r="F215" t="s">
        <v>188</v>
      </c>
      <c r="G215"/>
      <c r="H215">
        <f>E24</f>
        <v>0</v>
      </c>
      <c r="I215" t="s">
        <v>409</v>
      </c>
      <c r="X215" s="1234"/>
      <c r="Y215" s="1234"/>
      <c r="Z215" s="1234"/>
      <c r="AA215" s="1234"/>
      <c r="AB215" s="1234"/>
      <c r="AC215" s="1234"/>
      <c r="AD215" s="1234"/>
      <c r="AE215" s="1234"/>
      <c r="AF215" s="1234"/>
      <c r="AG215" s="1234"/>
      <c r="AH215" s="1234"/>
      <c r="AI215" s="1234"/>
      <c r="AJ215" s="1234"/>
      <c r="AK215" s="1234"/>
      <c r="AL215" s="1234"/>
      <c r="AM215" s="1234"/>
      <c r="AN215" s="1234"/>
      <c r="AO215" s="1234"/>
      <c r="AP215" s="1234"/>
      <c r="AQ215" s="1234"/>
    </row>
    <row r="216" spans="5:43" ht="15.65" customHeight="1" x14ac:dyDescent="0.25">
      <c r="E216" t="s">
        <v>907</v>
      </c>
      <c r="F216" t="s">
        <v>410</v>
      </c>
      <c r="G216"/>
      <c r="H216">
        <f>E25</f>
        <v>0</v>
      </c>
      <c r="I216"/>
      <c r="X216" s="1234"/>
      <c r="Y216" s="1912"/>
      <c r="Z216" s="1912"/>
      <c r="AA216" s="1234"/>
      <c r="AB216" s="1314"/>
      <c r="AC216" s="1315"/>
      <c r="AD216" s="1234"/>
      <c r="AE216" s="1234"/>
      <c r="AF216" s="1234"/>
      <c r="AG216" s="1234"/>
      <c r="AH216" s="1234"/>
      <c r="AI216" s="1234"/>
      <c r="AJ216" s="1234"/>
      <c r="AK216" s="1234"/>
      <c r="AL216" s="1234"/>
      <c r="AM216" s="1234"/>
      <c r="AN216" s="1234"/>
      <c r="AO216" s="1234"/>
      <c r="AP216" s="1234"/>
      <c r="AQ216" s="1234"/>
    </row>
    <row r="217" spans="5:43" ht="15.65" customHeight="1" x14ac:dyDescent="0.25">
      <c r="E217" t="s">
        <v>907</v>
      </c>
      <c r="F217" t="s">
        <v>411</v>
      </c>
      <c r="G217"/>
      <c r="H217" s="230">
        <f>iq_batchBegins</f>
        <v>0</v>
      </c>
      <c r="I217"/>
      <c r="X217" s="1234"/>
      <c r="Y217" s="1368"/>
      <c r="Z217" s="1368"/>
      <c r="AA217" s="1912"/>
      <c r="AB217" s="1912"/>
      <c r="AC217" s="1315"/>
      <c r="AD217" s="1234"/>
      <c r="AE217" s="1234"/>
      <c r="AF217" s="1234"/>
      <c r="AG217" s="1234"/>
      <c r="AH217" s="1234"/>
      <c r="AI217" s="1234"/>
      <c r="AJ217" s="1234"/>
      <c r="AK217" s="1234"/>
      <c r="AL217" s="1234"/>
      <c r="AM217" s="1234"/>
      <c r="AN217" s="1234"/>
      <c r="AO217" s="1234"/>
      <c r="AP217" s="1234"/>
      <c r="AQ217" s="1234"/>
    </row>
    <row r="218" spans="5:43" x14ac:dyDescent="0.25">
      <c r="E218" t="s">
        <v>907</v>
      </c>
      <c r="F218" t="s">
        <v>412</v>
      </c>
      <c r="G218"/>
      <c r="H218" s="230">
        <f>iq_batchEnd</f>
        <v>0</v>
      </c>
      <c r="I218"/>
      <c r="X218" s="1234"/>
      <c r="Y218" s="1368"/>
      <c r="Z218" s="1368"/>
      <c r="AA218" s="1912"/>
      <c r="AB218" s="1912"/>
      <c r="AC218" s="1314"/>
      <c r="AD218" s="1369"/>
      <c r="AE218" s="1369"/>
      <c r="AF218" s="1369"/>
      <c r="AG218" s="1369"/>
      <c r="AH218" s="1369"/>
      <c r="AI218" s="1369"/>
      <c r="AJ218" s="1369"/>
      <c r="AK218" s="1369"/>
      <c r="AL218" s="1234"/>
      <c r="AM218" s="1234"/>
      <c r="AN218" s="1234"/>
      <c r="AO218" s="1234"/>
      <c r="AP218" s="1234"/>
      <c r="AQ218" s="1234"/>
    </row>
    <row r="219" spans="5:43" x14ac:dyDescent="0.25">
      <c r="E219" t="s">
        <v>907</v>
      </c>
      <c r="F219" t="s">
        <v>413</v>
      </c>
      <c r="G219"/>
      <c r="H219">
        <f>ammCrack_quantityProduced_tonnes*1000</f>
        <v>0</v>
      </c>
      <c r="I219" t="s">
        <v>394</v>
      </c>
      <c r="X219" s="1234"/>
      <c r="Y219" s="1368"/>
      <c r="Z219" s="1368"/>
      <c r="AA219" s="1912"/>
      <c r="AB219" s="1912"/>
      <c r="AC219" s="1234"/>
      <c r="AD219" s="1369"/>
      <c r="AE219" s="1369"/>
      <c r="AF219" s="1369"/>
      <c r="AG219" s="1369"/>
      <c r="AH219" s="1369"/>
      <c r="AI219" s="1369"/>
      <c r="AJ219" s="1369"/>
      <c r="AK219" s="1369"/>
      <c r="AL219" s="1234"/>
      <c r="AM219" s="1234"/>
      <c r="AN219" s="1234"/>
      <c r="AO219" s="1234"/>
      <c r="AP219" s="1234"/>
      <c r="AQ219" s="1234"/>
    </row>
    <row r="220" spans="5:43" x14ac:dyDescent="0.25">
      <c r="E220" t="s">
        <v>907</v>
      </c>
      <c r="F220" t="s">
        <v>414</v>
      </c>
      <c r="G220"/>
      <c r="H220" cm="1">
        <f t="array" aca="1" ref="H220" ca="1">overall_totalImportedElectricity*VLOOKUP(_xlfn.TEXTAFTER(CELL("filename",$A$1),"]"),ElectricityPortionsByPathwayTable[],2,FALSE)</f>
        <v>0</v>
      </c>
      <c r="I220" t="s">
        <v>415</v>
      </c>
      <c r="X220" s="1234"/>
      <c r="Y220" s="1912"/>
      <c r="Z220" s="1912"/>
      <c r="AA220" s="1234"/>
      <c r="AB220" s="1314"/>
      <c r="AC220" s="1315"/>
      <c r="AD220" s="1369"/>
      <c r="AE220" s="1369"/>
      <c r="AF220" s="1369"/>
      <c r="AG220" s="1369"/>
      <c r="AH220" s="1369"/>
      <c r="AI220" s="1369"/>
      <c r="AJ220" s="1369"/>
      <c r="AK220" s="1369"/>
      <c r="AL220" s="1234"/>
      <c r="AM220" s="1234"/>
      <c r="AN220" s="1234"/>
      <c r="AO220" s="1234"/>
      <c r="AP220" s="1234"/>
      <c r="AQ220" s="1234"/>
    </row>
    <row r="221" spans="5:43" x14ac:dyDescent="0.25">
      <c r="E221" t="s">
        <v>907</v>
      </c>
      <c r="F221" t="s">
        <v>416</v>
      </c>
      <c r="G221"/>
      <c r="H221" t="e">
        <f>overall_LocationEF</f>
        <v>#N/A</v>
      </c>
      <c r="I221" t="s">
        <v>569</v>
      </c>
      <c r="X221" s="1234"/>
      <c r="Y221" s="1912"/>
      <c r="Z221" s="1912"/>
      <c r="AA221" s="1234"/>
      <c r="AB221" s="1314"/>
      <c r="AC221" s="1315"/>
      <c r="AD221" s="1369"/>
      <c r="AE221" s="1369"/>
      <c r="AF221" s="1369"/>
      <c r="AG221" s="1369"/>
      <c r="AH221" s="1369"/>
      <c r="AI221" s="1369"/>
      <c r="AJ221" s="1369"/>
      <c r="AK221" s="1369"/>
      <c r="AL221" s="1234"/>
      <c r="AM221" s="1234"/>
      <c r="AN221" s="1234"/>
      <c r="AO221" s="1234"/>
      <c r="AP221" s="1234"/>
      <c r="AQ221" s="1234"/>
    </row>
    <row r="222" spans="5:43" x14ac:dyDescent="0.25">
      <c r="E222" t="s">
        <v>907</v>
      </c>
      <c r="F222" t="s">
        <v>414</v>
      </c>
      <c r="G222"/>
      <c r="H222" cm="1">
        <f t="array" aca="1" ref="H222" ca="1">overall_totalImportedElectricity*VLOOKUP(_xlfn.TEXTAFTER(CELL("filename",$A$1),"]"),ElectricityPortionsByPathwayTable[],2,FALSE)</f>
        <v>0</v>
      </c>
      <c r="I222" t="s">
        <v>415</v>
      </c>
      <c r="X222" s="1234"/>
      <c r="Y222" s="1234"/>
      <c r="Z222" s="1234"/>
      <c r="AA222" s="1234"/>
      <c r="AB222" s="1314"/>
      <c r="AC222" s="1234"/>
      <c r="AD222" s="1369"/>
      <c r="AE222" s="1369"/>
      <c r="AF222" s="1369"/>
      <c r="AG222" s="1369"/>
      <c r="AH222" s="1369"/>
      <c r="AI222" s="1369"/>
      <c r="AJ222" s="1369"/>
      <c r="AK222" s="1369"/>
      <c r="AL222" s="1234"/>
      <c r="AM222" s="1234"/>
      <c r="AN222" s="1234"/>
      <c r="AO222" s="1234"/>
      <c r="AP222" s="1234"/>
      <c r="AQ222" s="1234"/>
    </row>
    <row r="223" spans="5:43" s="1164" customFormat="1" x14ac:dyDescent="0.25">
      <c r="E223" t="s">
        <v>907</v>
      </c>
      <c r="F223" t="s">
        <v>98</v>
      </c>
      <c r="G223"/>
      <c r="H223" cm="1">
        <f t="array" aca="1" ref="H223" ca="1">'Electricity Usage'!$S22*VLOOKUP(_xlfn.TEXTAFTER(CELL("filename",$A$1),"]"),ElectricityPortionsByPathwayTable[],2,FALSE)</f>
        <v>0</v>
      </c>
      <c r="I223" t="s">
        <v>415</v>
      </c>
      <c r="X223" s="1234"/>
      <c r="Y223" s="1234"/>
      <c r="Z223" s="1234"/>
      <c r="AA223" s="1234"/>
      <c r="AB223" s="1234"/>
      <c r="AC223" s="1234"/>
      <c r="AD223" s="1234"/>
      <c r="AE223" s="1234"/>
      <c r="AF223" s="1234"/>
      <c r="AG223" s="1234"/>
      <c r="AH223" s="1234"/>
      <c r="AI223" s="1234"/>
      <c r="AJ223" s="1234"/>
      <c r="AK223" s="1234"/>
      <c r="AL223" s="1234"/>
      <c r="AM223" s="1234"/>
      <c r="AN223" s="1234"/>
      <c r="AO223" s="1234"/>
      <c r="AP223" s="1234"/>
      <c r="AQ223" s="1234"/>
    </row>
    <row r="224" spans="5:43" x14ac:dyDescent="0.25">
      <c r="E224" t="s">
        <v>907</v>
      </c>
      <c r="F224" t="s">
        <v>99</v>
      </c>
      <c r="G224"/>
      <c r="H224" cm="1">
        <f t="array" aca="1" ref="H224" ca="1">'Electricity Usage'!$S23*VLOOKUP(_xlfn.TEXTAFTER(CELL("filename",$A$1),"]"),ElectricityPortionsByPathwayTable[],2,FALSE)</f>
        <v>0</v>
      </c>
      <c r="I224" t="s">
        <v>415</v>
      </c>
      <c r="X224" s="1234"/>
      <c r="Y224" s="1234"/>
      <c r="Z224" s="1234"/>
      <c r="AA224" s="1234"/>
      <c r="AB224" s="1234"/>
      <c r="AC224" s="1234"/>
      <c r="AD224" s="1234"/>
      <c r="AE224" s="1234"/>
      <c r="AF224" s="1234"/>
      <c r="AG224" s="1234"/>
      <c r="AH224" s="1234"/>
      <c r="AI224" s="1234"/>
      <c r="AJ224" s="1234"/>
      <c r="AK224" s="1234"/>
      <c r="AL224" s="1234"/>
      <c r="AM224" s="1234"/>
      <c r="AN224" s="1234"/>
      <c r="AO224" s="1234"/>
      <c r="AP224" s="1234"/>
      <c r="AQ224" s="1234"/>
    </row>
    <row r="225" spans="5:43" x14ac:dyDescent="0.25">
      <c r="E225" t="s">
        <v>907</v>
      </c>
      <c r="F225" t="s">
        <v>100</v>
      </c>
      <c r="G225"/>
      <c r="H225" cm="1">
        <f t="array" aca="1" ref="H225" ca="1">'Electricity Usage'!$S24*VLOOKUP(_xlfn.TEXTAFTER(CELL("filename",$A$1),"]"),ElectricityPortionsByPathwayTable[],2,FALSE)</f>
        <v>0</v>
      </c>
      <c r="I225" t="s">
        <v>415</v>
      </c>
      <c r="X225" s="1234"/>
      <c r="Y225" s="1234"/>
      <c r="Z225" s="1234"/>
      <c r="AA225" s="1234"/>
      <c r="AB225" s="1234"/>
      <c r="AC225" s="1234"/>
      <c r="AD225" s="1234"/>
      <c r="AE225" s="1234"/>
      <c r="AF225" s="1234"/>
      <c r="AG225" s="1234"/>
      <c r="AH225" s="1234"/>
      <c r="AI225" s="1234"/>
      <c r="AJ225" s="1234"/>
      <c r="AK225" s="1234"/>
      <c r="AL225" s="1234"/>
      <c r="AM225" s="1234"/>
      <c r="AN225" s="1234"/>
      <c r="AO225" s="1234"/>
      <c r="AP225" s="1234"/>
      <c r="AQ225" s="1234"/>
    </row>
    <row r="226" spans="5:43" x14ac:dyDescent="0.25">
      <c r="E226" t="s">
        <v>907</v>
      </c>
      <c r="F226" t="s">
        <v>101</v>
      </c>
      <c r="G226"/>
      <c r="H226" cm="1">
        <f t="array" aca="1" ref="H226" ca="1">'Electricity Usage'!$S25*VLOOKUP(_xlfn.TEXTAFTER(CELL("filename",$A$1),"]"),ElectricityPortionsByPathwayTable[],2,FALSE)</f>
        <v>0</v>
      </c>
      <c r="I226" t="s">
        <v>415</v>
      </c>
      <c r="X226" s="1234"/>
      <c r="Y226" s="1234"/>
      <c r="Z226" s="1234"/>
      <c r="AA226" s="1234"/>
      <c r="AB226" s="1234"/>
      <c r="AC226" s="1234"/>
      <c r="AD226" s="1234"/>
      <c r="AE226" s="1234"/>
      <c r="AF226" s="1234"/>
      <c r="AG226" s="1234"/>
      <c r="AH226" s="1234"/>
      <c r="AI226" s="1234"/>
      <c r="AJ226" s="1234"/>
      <c r="AK226" s="1234"/>
      <c r="AL226" s="1234"/>
      <c r="AM226" s="1234"/>
      <c r="AN226" s="1234"/>
      <c r="AO226" s="1234"/>
      <c r="AP226" s="1234"/>
      <c r="AQ226" s="1234"/>
    </row>
    <row r="227" spans="5:43" ht="15" customHeight="1" x14ac:dyDescent="0.25">
      <c r="E227" t="s">
        <v>907</v>
      </c>
      <c r="F227" t="s">
        <v>418</v>
      </c>
      <c r="G227"/>
      <c r="H227" cm="1">
        <f t="array" aca="1" ref="H227" ca="1">overall_residualElectricity*VLOOKUP(_xlfn.TEXTAFTER(CELL("filename",A1),"]"),ElectricityPortionsByPathwayTable[],2,FALSE)</f>
        <v>0</v>
      </c>
      <c r="I227" t="s">
        <v>415</v>
      </c>
      <c r="X227" s="1234"/>
      <c r="Y227" s="1234"/>
      <c r="Z227" s="1234"/>
      <c r="AA227" s="1234"/>
      <c r="AB227" s="1234"/>
      <c r="AC227" s="1234"/>
      <c r="AD227" s="1234"/>
      <c r="AE227" s="1234"/>
      <c r="AF227" s="1234"/>
      <c r="AG227" s="1234"/>
      <c r="AH227" s="1234"/>
      <c r="AI227" s="1234"/>
      <c r="AJ227" s="1234"/>
      <c r="AK227" s="1234"/>
      <c r="AL227" s="1234"/>
      <c r="AM227" s="1234"/>
      <c r="AN227" s="1234"/>
      <c r="AO227" s="1234"/>
      <c r="AP227" s="1234"/>
      <c r="AQ227" s="1234"/>
    </row>
    <row r="228" spans="5:43" ht="15" customHeight="1" x14ac:dyDescent="0.25">
      <c r="E228" t="s">
        <v>907</v>
      </c>
      <c r="F228" t="s">
        <v>419</v>
      </c>
      <c r="G228"/>
      <c r="H228">
        <f>overall_MarketEF</f>
        <v>0.95499999999999996</v>
      </c>
      <c r="I228" t="s">
        <v>824</v>
      </c>
      <c r="X228" s="1234"/>
      <c r="Y228" s="1234"/>
      <c r="Z228" s="1234"/>
      <c r="AA228" s="1234"/>
      <c r="AB228" s="1234"/>
      <c r="AC228" s="1234"/>
      <c r="AD228" s="1234"/>
      <c r="AE228" s="1234"/>
      <c r="AF228" s="1234"/>
      <c r="AG228" s="1234"/>
      <c r="AH228" s="1234"/>
      <c r="AI228" s="1234"/>
      <c r="AJ228" s="1234"/>
      <c r="AK228" s="1234"/>
      <c r="AL228" s="1234"/>
      <c r="AM228" s="1234"/>
      <c r="AN228" s="1234"/>
      <c r="AO228" s="1234"/>
      <c r="AP228" s="1234"/>
      <c r="AQ228" s="1234"/>
    </row>
    <row r="229" spans="5:43" x14ac:dyDescent="0.25">
      <c r="E229" t="s">
        <v>907</v>
      </c>
      <c r="F229" t="s">
        <v>420</v>
      </c>
      <c r="G229"/>
      <c r="H229" cm="1">
        <f t="array" aca="1" ref="H229" ca="1">overall_totalOnsiteElecGen*VLOOKUP(_xlfn.TEXTAFTER(CELL("filename",$A$1),"]"),ElectricityPortionsByPathwayTable[],2,FALSE)</f>
        <v>0</v>
      </c>
      <c r="I229" t="s">
        <v>415</v>
      </c>
      <c r="X229" s="1234"/>
      <c r="Y229" s="1234"/>
      <c r="Z229" s="1234"/>
      <c r="AA229" s="1234"/>
      <c r="AB229" s="1234"/>
      <c r="AC229" s="1234"/>
      <c r="AD229" s="1234"/>
      <c r="AE229" s="1234"/>
      <c r="AF229" s="1234"/>
      <c r="AG229" s="1234"/>
      <c r="AH229" s="1234"/>
      <c r="AI229" s="1234"/>
      <c r="AJ229" s="1234"/>
      <c r="AK229" s="1234"/>
      <c r="AL229" s="1234"/>
      <c r="AM229" s="1234"/>
      <c r="AN229" s="1234"/>
      <c r="AO229" s="1234"/>
      <c r="AP229" s="1234"/>
      <c r="AQ229" s="1234"/>
    </row>
    <row r="230" spans="5:43" x14ac:dyDescent="0.25">
      <c r="E230" t="s">
        <v>907</v>
      </c>
      <c r="F230" t="s">
        <v>421</v>
      </c>
      <c r="G230"/>
      <c r="H230" t="e">
        <f>overall_onsiteGenEF</f>
        <v>#DIV/0!</v>
      </c>
      <c r="I230" t="s">
        <v>825</v>
      </c>
      <c r="X230" s="1234"/>
      <c r="Y230" s="1234"/>
      <c r="Z230" s="1234"/>
      <c r="AA230" s="1234"/>
      <c r="AB230" s="1234"/>
      <c r="AC230" s="1234"/>
      <c r="AD230" s="1234"/>
      <c r="AE230" s="1234"/>
      <c r="AF230" s="1234"/>
      <c r="AG230" s="1234"/>
      <c r="AH230" s="1234"/>
      <c r="AI230" s="1234"/>
      <c r="AJ230" s="1234"/>
      <c r="AK230" s="1234"/>
      <c r="AL230" s="1234"/>
      <c r="AM230" s="1234"/>
      <c r="AN230" s="1234"/>
      <c r="AO230" s="1234"/>
      <c r="AP230" s="1234"/>
      <c r="AQ230" s="1234"/>
    </row>
    <row r="231" spans="5:43" x14ac:dyDescent="0.25">
      <c r="E231" t="s">
        <v>907</v>
      </c>
      <c r="F231" t="s">
        <v>434</v>
      </c>
      <c r="G231">
        <f>'Electricity Usage'!$E$51</f>
        <v>0</v>
      </c>
      <c r="H231" t="str" cm="1">
        <f t="array" aca="1" ref="H231" ca="1">IF(_xlfn.ANCHORARRAY(G231)&lt;&gt;0,overall_CHPFuelElecAllocation*VLOOKUP(_xlfn.TEXTAFTER(CELL("filename",$A$1),"]"),ElectricityPortionsByPathwayTable[],3,FALSE) + overall_CHPFuelSteamAllocation *VLOOKUP(_xlfn.TEXTAFTER(CELL("filename",$A$1),"]"),ElectricityPortionsByPathwayTable[],4,FALSE),"")</f>
        <v/>
      </c>
      <c r="I231" t="str" cm="1">
        <f t="array" ref="I231">IF(_xlfn.ANCHORARRAY(G231)&lt;&gt;0,('Electricity Usage'!$S$51)*'Electricity Usage'!$T$51/1000,"")</f>
        <v/>
      </c>
      <c r="X231" s="1234"/>
      <c r="Y231" s="1234"/>
      <c r="Z231" s="1234"/>
      <c r="AA231" s="1234"/>
      <c r="AB231" s="1234"/>
      <c r="AC231" s="1234"/>
      <c r="AD231" s="1234"/>
      <c r="AE231" s="1234"/>
      <c r="AF231" s="1234"/>
      <c r="AG231" s="1234"/>
      <c r="AH231" s="1234"/>
      <c r="AI231" s="1234"/>
      <c r="AJ231" s="1234"/>
      <c r="AK231" s="1234"/>
      <c r="AL231" s="1234"/>
      <c r="AM231" s="1234"/>
      <c r="AN231" s="1234"/>
      <c r="AO231" s="1234"/>
      <c r="AP231" s="1234"/>
      <c r="AQ231" s="1234"/>
    </row>
    <row r="232" spans="5:43" x14ac:dyDescent="0.25">
      <c r="E232" t="s">
        <v>907</v>
      </c>
      <c r="F232" t="s">
        <v>435</v>
      </c>
      <c r="G232">
        <f>'Electricity Usage'!$E$38</f>
        <v>0</v>
      </c>
      <c r="H232" t="str" cm="1">
        <f t="array" aca="1" ref="H232" ca="1">IF(_xlfn.ANCHORARRAY(G232)&lt;&gt;0,overall_otherOnsiteElecGenViaCombustionFuelAmount*VLOOKUP(_xlfn.TEXTAFTER(CELL("filename",$A$1),"]"),ElectricityPortionsByPathwayTable[],3,FALSE),"")</f>
        <v/>
      </c>
      <c r="I232" t="str" cm="1">
        <f t="array" ref="I232">IF(_xlfn.ANCHORARRAY(G232)&lt;&gt;0,('Electricity Usage'!$S$38)*'Electricity Usage'!$T$38/1000,"")</f>
        <v/>
      </c>
      <c r="X232" s="1234"/>
      <c r="Y232" s="1234"/>
      <c r="Z232" s="1234"/>
      <c r="AA232" s="1234"/>
      <c r="AB232" s="1234"/>
      <c r="AC232" s="1234"/>
      <c r="AD232" s="1234"/>
      <c r="AE232" s="1234"/>
      <c r="AF232" s="1234"/>
      <c r="AG232" s="1234"/>
      <c r="AH232" s="1234"/>
      <c r="AI232" s="1234"/>
      <c r="AJ232" s="1234"/>
      <c r="AK232" s="1234"/>
      <c r="AL232" s="1234"/>
      <c r="AM232" s="1234"/>
      <c r="AN232" s="1234"/>
      <c r="AO232" s="1234"/>
      <c r="AP232" s="1234"/>
      <c r="AQ232" s="1234"/>
    </row>
    <row r="233" spans="5:43" x14ac:dyDescent="0.25">
      <c r="E233" t="s">
        <v>907</v>
      </c>
      <c r="F233" t="s">
        <v>436</v>
      </c>
      <c r="G233">
        <f>F94</f>
        <v>0</v>
      </c>
      <c r="H233" s="227" t="e">
        <f>AB94*1000</f>
        <v>#N/A</v>
      </c>
      <c r="I233" t="e">
        <f>(Y94)*Z94/1000</f>
        <v>#VALUE!</v>
      </c>
      <c r="X233" s="1234"/>
      <c r="Y233" s="1913"/>
      <c r="Z233" s="1913"/>
      <c r="AA233" s="1234"/>
      <c r="AB233" s="1314"/>
      <c r="AC233" s="1315"/>
      <c r="AD233" s="1234"/>
      <c r="AE233" s="1234"/>
      <c r="AF233" s="1234"/>
      <c r="AG233" s="1234"/>
      <c r="AH233" s="1234"/>
      <c r="AI233" s="1234"/>
      <c r="AJ233" s="1234"/>
      <c r="AK233" s="1234"/>
      <c r="AL233" s="1234"/>
      <c r="AM233" s="1234"/>
      <c r="AN233" s="1234"/>
      <c r="AO233" s="1234"/>
      <c r="AP233" s="1234"/>
      <c r="AQ233" s="1234"/>
    </row>
    <row r="234" spans="5:43" x14ac:dyDescent="0.25">
      <c r="E234" t="s">
        <v>907</v>
      </c>
      <c r="F234" t="s">
        <v>437</v>
      </c>
      <c r="G234">
        <f>F95</f>
        <v>0</v>
      </c>
      <c r="H234" s="227" t="e">
        <f>AB95*1000</f>
        <v>#N/A</v>
      </c>
      <c r="I234" t="e">
        <f>(Y95)*Z95/1000</f>
        <v>#VALUE!</v>
      </c>
      <c r="X234" s="1234"/>
      <c r="Y234" s="1234"/>
      <c r="Z234" s="1234"/>
      <c r="AA234" s="1234"/>
      <c r="AB234" s="1234"/>
      <c r="AC234" s="1234"/>
      <c r="AD234" s="1234"/>
      <c r="AE234" s="1234"/>
      <c r="AF234" s="1234"/>
      <c r="AG234" s="1234"/>
      <c r="AH234" s="1234"/>
      <c r="AI234" s="1234"/>
      <c r="AJ234" s="1234"/>
      <c r="AK234" s="1234"/>
      <c r="AL234" s="1234"/>
      <c r="AM234" s="1234"/>
      <c r="AN234" s="1234"/>
      <c r="AO234" s="1234"/>
      <c r="AP234" s="1234"/>
      <c r="AQ234" s="1234"/>
    </row>
    <row r="235" spans="5:43" s="1164" customFormat="1" x14ac:dyDescent="0.25">
      <c r="E235" t="s">
        <v>907</v>
      </c>
      <c r="F235" t="s">
        <v>438</v>
      </c>
      <c r="G235">
        <f>F96</f>
        <v>0</v>
      </c>
      <c r="H235" s="227" t="e">
        <f>AB96*1000</f>
        <v>#N/A</v>
      </c>
      <c r="I235" t="e">
        <f>(Y96)*Z96/1000</f>
        <v>#VALUE!</v>
      </c>
      <c r="X235" s="1234"/>
      <c r="Y235" s="1234"/>
      <c r="Z235" s="1234"/>
      <c r="AA235" s="1234"/>
      <c r="AB235" s="1234"/>
      <c r="AC235" s="1234"/>
      <c r="AD235" s="1234"/>
      <c r="AE235" s="1234"/>
      <c r="AF235" s="1234"/>
      <c r="AG235" s="1234"/>
      <c r="AH235" s="1234"/>
      <c r="AI235" s="1234"/>
      <c r="AJ235" s="1234"/>
      <c r="AK235" s="1234"/>
      <c r="AL235" s="1234"/>
      <c r="AM235" s="1234"/>
      <c r="AN235" s="1234"/>
      <c r="AO235" s="1234"/>
      <c r="AP235" s="1234"/>
      <c r="AQ235" s="1234"/>
    </row>
    <row r="236" spans="5:43" x14ac:dyDescent="0.25">
      <c r="E236" t="s">
        <v>907</v>
      </c>
      <c r="F236" t="s">
        <v>439</v>
      </c>
      <c r="G236">
        <f>F97</f>
        <v>0</v>
      </c>
      <c r="H236" s="227" t="e">
        <f>AB97*1000</f>
        <v>#N/A</v>
      </c>
      <c r="I236" t="e">
        <f>(Y97)*Z97/1000</f>
        <v>#VALUE!</v>
      </c>
      <c r="Y236" s="1164"/>
      <c r="Z236" s="1164"/>
      <c r="AA236" s="1164"/>
      <c r="AB236" s="1164"/>
      <c r="AC236" s="1164"/>
      <c r="AD236" s="1164"/>
      <c r="AE236" s="1164"/>
      <c r="AF236" s="1164"/>
      <c r="AG236" s="1164"/>
      <c r="AH236" s="1164"/>
      <c r="AI236" s="1164"/>
      <c r="AJ236" s="1164"/>
      <c r="AK236" s="1164"/>
      <c r="AL236" s="1164"/>
      <c r="AM236" s="1164"/>
      <c r="AN236" s="1164"/>
      <c r="AO236" s="1164"/>
      <c r="AP236" s="1164"/>
      <c r="AQ236" s="1164"/>
    </row>
    <row r="237" spans="5:43" x14ac:dyDescent="0.25">
      <c r="E237" t="s">
        <v>907</v>
      </c>
      <c r="F237" t="s">
        <v>440</v>
      </c>
      <c r="G237">
        <f>F98</f>
        <v>0</v>
      </c>
      <c r="H237" s="227" t="e">
        <f>AB98*1000</f>
        <v>#N/A</v>
      </c>
      <c r="I237" t="e">
        <f>(Y98)*Z98/1000</f>
        <v>#VALUE!</v>
      </c>
    </row>
    <row r="238" spans="5:43" x14ac:dyDescent="0.25">
      <c r="E238" t="s">
        <v>907</v>
      </c>
      <c r="F238" t="s">
        <v>423</v>
      </c>
      <c r="G238">
        <f>E32</f>
        <v>0</v>
      </c>
      <c r="H238" t="e">
        <f>AB32</f>
        <v>#N/A</v>
      </c>
      <c r="I238" t="e">
        <f>O32/AB32</f>
        <v>#N/A</v>
      </c>
    </row>
    <row r="239" spans="5:43" x14ac:dyDescent="0.25">
      <c r="E239" t="s">
        <v>907</v>
      </c>
      <c r="F239" t="s">
        <v>424</v>
      </c>
      <c r="G239">
        <f>E33</f>
        <v>0</v>
      </c>
      <c r="H239" t="e">
        <f>AB33</f>
        <v>#N/A</v>
      </c>
      <c r="I239" t="e">
        <f>O33/AB33</f>
        <v>#N/A</v>
      </c>
    </row>
    <row r="240" spans="5:43" x14ac:dyDescent="0.25">
      <c r="E240" t="s">
        <v>907</v>
      </c>
      <c r="F240" t="s">
        <v>425</v>
      </c>
      <c r="G240">
        <f>E34</f>
        <v>0</v>
      </c>
      <c r="H240" t="e">
        <f>AB34</f>
        <v>#N/A</v>
      </c>
      <c r="I240" t="e">
        <f>O34/AB34</f>
        <v>#N/A</v>
      </c>
    </row>
    <row r="241" spans="5:43" x14ac:dyDescent="0.25">
      <c r="E241" t="s">
        <v>907</v>
      </c>
      <c r="F241" t="s">
        <v>426</v>
      </c>
      <c r="G241">
        <f>E41</f>
        <v>0</v>
      </c>
      <c r="H241" t="e">
        <f>AB41*VLOOKUP("m3",Table13[],2,FALSE)</f>
        <v>#N/A</v>
      </c>
      <c r="I241" t="e">
        <f>O41/(AB41*VLOOKUP("m3",Table13[],2,FALSE))</f>
        <v>#N/A</v>
      </c>
      <c r="Z241" s="1316"/>
      <c r="AA241" s="1316"/>
    </row>
    <row r="242" spans="5:43" x14ac:dyDescent="0.25">
      <c r="E242" t="s">
        <v>907</v>
      </c>
      <c r="F242" t="s">
        <v>428</v>
      </c>
      <c r="G242">
        <f>E67</f>
        <v>0</v>
      </c>
      <c r="H242" s="618" t="e">
        <f>Y67</f>
        <v>#N/A</v>
      </c>
      <c r="I242" t="e">
        <f>AD67</f>
        <v>#N/A</v>
      </c>
      <c r="Y242" s="1164"/>
      <c r="Z242" s="1164"/>
      <c r="AA242" s="1164"/>
      <c r="AB242" s="1164"/>
      <c r="AC242" s="1164"/>
      <c r="AD242" s="1164"/>
      <c r="AE242" s="1164"/>
      <c r="AF242" s="1164"/>
      <c r="AG242" s="1164"/>
      <c r="AH242" s="1164"/>
      <c r="AI242" s="1164"/>
      <c r="AJ242" s="1164"/>
      <c r="AK242" s="1164"/>
      <c r="AL242" s="1164"/>
      <c r="AM242" s="1164"/>
      <c r="AN242" s="1164"/>
      <c r="AO242" s="1164"/>
      <c r="AP242" s="1164"/>
      <c r="AQ242" s="1164"/>
    </row>
    <row r="243" spans="5:43" x14ac:dyDescent="0.25">
      <c r="E243" t="s">
        <v>907</v>
      </c>
      <c r="F243" t="s">
        <v>429</v>
      </c>
      <c r="G243">
        <f>E68</f>
        <v>0</v>
      </c>
      <c r="H243" t="e">
        <f>Y68</f>
        <v>#N/A</v>
      </c>
      <c r="I243" t="e">
        <f>AD68</f>
        <v>#N/A</v>
      </c>
    </row>
    <row r="244" spans="5:43" x14ac:dyDescent="0.25">
      <c r="E244" t="s">
        <v>907</v>
      </c>
      <c r="F244" t="s">
        <v>430</v>
      </c>
      <c r="G244">
        <f>E69</f>
        <v>0</v>
      </c>
      <c r="H244" t="e">
        <f>Y69</f>
        <v>#N/A</v>
      </c>
      <c r="I244" t="e">
        <f>AD69</f>
        <v>#N/A</v>
      </c>
    </row>
    <row r="245" spans="5:43" x14ac:dyDescent="0.25">
      <c r="E245" t="s">
        <v>907</v>
      </c>
      <c r="F245" t="s">
        <v>431</v>
      </c>
      <c r="G245"/>
      <c r="H245" t="e">
        <f>Z147</f>
        <v>#N/A</v>
      </c>
      <c r="I245" t="e">
        <f>Y147</f>
        <v>#N/A</v>
      </c>
      <c r="Y245" s="1316"/>
    </row>
    <row r="246" spans="5:43" x14ac:dyDescent="0.25">
      <c r="E246" t="s">
        <v>907</v>
      </c>
      <c r="F246" t="s">
        <v>432</v>
      </c>
      <c r="G246"/>
      <c r="H246" t="e">
        <f>Z148</f>
        <v>#N/A</v>
      </c>
      <c r="I246" t="e">
        <f>Y148</f>
        <v>#N/A</v>
      </c>
      <c r="Y246" s="1914"/>
      <c r="Z246" s="1914"/>
      <c r="AB246" s="1316"/>
    </row>
    <row r="247" spans="5:43" s="1164" customFormat="1" x14ac:dyDescent="0.25">
      <c r="E247" t="s">
        <v>907</v>
      </c>
      <c r="F247" t="s">
        <v>433</v>
      </c>
      <c r="G247"/>
      <c r="H247" t="e">
        <f>Z149</f>
        <v>#N/A</v>
      </c>
      <c r="I247" t="e">
        <f>Y149</f>
        <v>#N/A</v>
      </c>
      <c r="Y247" s="1914"/>
      <c r="Z247" s="1914"/>
      <c r="AA247" s="1069"/>
      <c r="AB247" s="1069"/>
      <c r="AC247" s="1069"/>
      <c r="AD247" s="1069"/>
      <c r="AE247" s="1069"/>
      <c r="AF247" s="1069"/>
      <c r="AG247" s="1069"/>
      <c r="AH247" s="1069"/>
      <c r="AI247" s="1069"/>
      <c r="AJ247" s="1069"/>
      <c r="AK247" s="1069"/>
      <c r="AL247" s="1069"/>
      <c r="AM247" s="1069"/>
      <c r="AN247" s="1069"/>
      <c r="AO247" s="1069"/>
      <c r="AP247" s="1069"/>
      <c r="AQ247" s="1069"/>
    </row>
    <row r="248" spans="5:43" x14ac:dyDescent="0.25">
      <c r="E248" t="s">
        <v>907</v>
      </c>
      <c r="F248" t="s">
        <v>461</v>
      </c>
      <c r="G248"/>
      <c r="H248">
        <f>SUMIF(AA147:AA149,"&gt;0")+SUMIF(Y59,"&gt;0")</f>
        <v>0</v>
      </c>
      <c r="I248" t="s">
        <v>90</v>
      </c>
    </row>
    <row r="249" spans="5:43" x14ac:dyDescent="0.25">
      <c r="E249" t="s">
        <v>907</v>
      </c>
      <c r="F249" t="s">
        <v>462</v>
      </c>
      <c r="G249"/>
      <c r="H249">
        <f>SUMIF(Z147:Z149,"&gt;0")</f>
        <v>0</v>
      </c>
      <c r="I249" t="s">
        <v>90</v>
      </c>
    </row>
    <row r="250" spans="5:43" x14ac:dyDescent="0.25">
      <c r="E250" t="s">
        <v>907</v>
      </c>
      <c r="F250" t="s">
        <v>463</v>
      </c>
      <c r="G250"/>
      <c r="H250">
        <f>Y140</f>
        <v>0</v>
      </c>
      <c r="I250" t="s">
        <v>415</v>
      </c>
    </row>
    <row r="251" spans="5:43" x14ac:dyDescent="0.25">
      <c r="E251" t="s">
        <v>907</v>
      </c>
      <c r="F251" t="s">
        <v>467</v>
      </c>
      <c r="G251"/>
      <c r="H251" t="e">
        <f>AB156</f>
        <v>#N/A</v>
      </c>
      <c r="I251" t="s">
        <v>90</v>
      </c>
    </row>
    <row r="252" spans="5:43" x14ac:dyDescent="0.25">
      <c r="E252" t="s">
        <v>907</v>
      </c>
      <c r="F252" t="s">
        <v>472</v>
      </c>
      <c r="G252"/>
      <c r="H252" t="e">
        <f>Y156</f>
        <v>#N/A</v>
      </c>
      <c r="I252" t="s">
        <v>90</v>
      </c>
    </row>
    <row r="253" spans="5:43" s="1164" customFormat="1" x14ac:dyDescent="0.25">
      <c r="E253" t="s">
        <v>907</v>
      </c>
      <c r="F253" t="s">
        <v>911</v>
      </c>
      <c r="G253"/>
      <c r="H253" t="s">
        <v>369</v>
      </c>
      <c r="I253"/>
      <c r="Y253" s="1069"/>
      <c r="Z253" s="1069"/>
      <c r="AA253" s="1069"/>
      <c r="AB253" s="1069"/>
      <c r="AC253" s="1069"/>
      <c r="AD253" s="1069"/>
      <c r="AE253" s="1069"/>
      <c r="AF253" s="1069"/>
      <c r="AG253" s="1069"/>
      <c r="AH253" s="1069"/>
      <c r="AI253" s="1069"/>
      <c r="AJ253" s="1069"/>
      <c r="AK253" s="1069"/>
      <c r="AL253" s="1069"/>
      <c r="AM253" s="1069"/>
      <c r="AN253" s="1069"/>
      <c r="AO253" s="1069"/>
      <c r="AP253" s="1069"/>
      <c r="AQ253" s="1069"/>
    </row>
    <row r="254" spans="5:43" x14ac:dyDescent="0.25">
      <c r="E254" t="s">
        <v>907</v>
      </c>
      <c r="F254" t="s">
        <v>912</v>
      </c>
      <c r="G254"/>
      <c r="H254" t="s">
        <v>369</v>
      </c>
      <c r="I254"/>
    </row>
    <row r="255" spans="5:43" x14ac:dyDescent="0.25">
      <c r="E255" t="s">
        <v>907</v>
      </c>
      <c r="F255" t="s">
        <v>913</v>
      </c>
      <c r="G255"/>
      <c r="H255" t="s">
        <v>369</v>
      </c>
      <c r="I255"/>
    </row>
    <row r="256" spans="5:43" x14ac:dyDescent="0.25">
      <c r="E256" t="s">
        <v>907</v>
      </c>
      <c r="F256" t="s">
        <v>914</v>
      </c>
      <c r="G256"/>
      <c r="H256" t="s">
        <v>369</v>
      </c>
      <c r="I256"/>
    </row>
    <row r="257" spans="5:9" x14ac:dyDescent="0.25">
      <c r="E257" t="s">
        <v>907</v>
      </c>
      <c r="F257" t="s">
        <v>454</v>
      </c>
      <c r="G257"/>
      <c r="H257">
        <f>iq_ccsStorage</f>
        <v>0</v>
      </c>
      <c r="I257"/>
    </row>
    <row r="258" spans="5:9" x14ac:dyDescent="0.25">
      <c r="E258" t="s">
        <v>907</v>
      </c>
      <c r="F258" t="s">
        <v>65</v>
      </c>
      <c r="G258"/>
      <c r="H258">
        <f>iq_ccsLocation</f>
        <v>0</v>
      </c>
      <c r="I258"/>
    </row>
    <row r="259" spans="5:9" x14ac:dyDescent="0.25">
      <c r="E259" t="s">
        <v>907</v>
      </c>
      <c r="F259" t="s">
        <v>455</v>
      </c>
      <c r="G259"/>
      <c r="H259">
        <f>iq_ccsTransport</f>
        <v>0</v>
      </c>
      <c r="I259"/>
    </row>
    <row r="260" spans="5:9" x14ac:dyDescent="0.25">
      <c r="E260" t="s">
        <v>907</v>
      </c>
      <c r="F260" t="s">
        <v>456</v>
      </c>
      <c r="G260"/>
      <c r="H260">
        <f>Y118</f>
        <v>0</v>
      </c>
      <c r="I260" t="s">
        <v>730</v>
      </c>
    </row>
    <row r="261" spans="5:9" x14ac:dyDescent="0.25">
      <c r="E261" t="s">
        <v>907</v>
      </c>
      <c r="F261" t="s">
        <v>457</v>
      </c>
      <c r="G261"/>
      <c r="H261">
        <f>Y123</f>
        <v>0</v>
      </c>
      <c r="I261" t="s">
        <v>730</v>
      </c>
    </row>
    <row r="262" spans="5:9" x14ac:dyDescent="0.25">
      <c r="E262" t="s">
        <v>907</v>
      </c>
      <c r="F262" t="s">
        <v>458</v>
      </c>
      <c r="G262"/>
      <c r="H262">
        <f>Y119</f>
        <v>0</v>
      </c>
      <c r="I262" t="s">
        <v>730</v>
      </c>
    </row>
    <row r="263" spans="5:9" x14ac:dyDescent="0.25">
      <c r="E263" t="s">
        <v>907</v>
      </c>
      <c r="F263" t="s">
        <v>915</v>
      </c>
      <c r="G263"/>
      <c r="H263">
        <f>SUMIF(O120:O121,"&gt;0")</f>
        <v>0</v>
      </c>
      <c r="I263" t="s">
        <v>730</v>
      </c>
    </row>
    <row r="264" spans="5:9" x14ac:dyDescent="0.25">
      <c r="E264" t="s">
        <v>907</v>
      </c>
      <c r="F264" t="s">
        <v>460</v>
      </c>
      <c r="G264"/>
      <c r="H264">
        <f>O122</f>
        <v>0</v>
      </c>
      <c r="I264" t="s">
        <v>730</v>
      </c>
    </row>
    <row r="265" spans="5:9" x14ac:dyDescent="0.25">
      <c r="E265" t="s">
        <v>907</v>
      </c>
      <c r="F265" t="s">
        <v>401</v>
      </c>
      <c r="G265"/>
      <c r="H265">
        <f>iq_name</f>
        <v>0</v>
      </c>
      <c r="I265"/>
    </row>
    <row r="266" spans="5:9" x14ac:dyDescent="0.25">
      <c r="E266" t="s">
        <v>907</v>
      </c>
      <c r="F266" t="s">
        <v>402</v>
      </c>
      <c r="G266"/>
      <c r="H266">
        <f>iq_location</f>
        <v>0</v>
      </c>
      <c r="I266"/>
    </row>
    <row r="267" spans="5:9" x14ac:dyDescent="0.25">
      <c r="E267" t="s">
        <v>907</v>
      </c>
      <c r="F267" t="s">
        <v>403</v>
      </c>
      <c r="G267"/>
      <c r="H267">
        <f>ammCrack_annualCapacity_tonnes</f>
        <v>0</v>
      </c>
      <c r="I267" t="s">
        <v>916</v>
      </c>
    </row>
    <row r="268" spans="5:9" x14ac:dyDescent="0.25">
      <c r="E268" t="s">
        <v>907</v>
      </c>
      <c r="F268" t="s">
        <v>405</v>
      </c>
      <c r="G268"/>
      <c r="H268" s="230">
        <f>iq_commencement</f>
        <v>0</v>
      </c>
      <c r="I268"/>
    </row>
    <row r="269" spans="5:9" x14ac:dyDescent="0.25">
      <c r="E269" t="s">
        <v>907</v>
      </c>
      <c r="F269" t="s">
        <v>917</v>
      </c>
      <c r="G269">
        <f>F87</f>
        <v>0</v>
      </c>
      <c r="H269" t="e">
        <f>AB87*1000</f>
        <v>#N/A</v>
      </c>
      <c r="I269" t="e">
        <f>Y87*Z87/1000</f>
        <v>#VALUE!</v>
      </c>
    </row>
    <row r="272" spans="5:9" x14ac:dyDescent="0.25">
      <c r="E272" s="1489" t="s">
        <v>479</v>
      </c>
      <c r="F272" s="1489" t="s">
        <v>575</v>
      </c>
      <c r="G272" s="1489" t="s">
        <v>481</v>
      </c>
      <c r="H272" s="1489" t="s">
        <v>482</v>
      </c>
      <c r="I272" s="1490" t="s">
        <v>483</v>
      </c>
    </row>
    <row r="273" spans="5:9" x14ac:dyDescent="0.25">
      <c r="E273" t="str">
        <f>'Hidden Lists and Summaries'!$B$5</f>
        <v>Embodied (Upstream)</v>
      </c>
      <c r="F273" t="s">
        <v>918</v>
      </c>
      <c r="G273" t="e">
        <f t="shared" ref="G273:G282" ca="1" si="9">H273/ammCrack_quantityProduced_tonnes</f>
        <v>#VALUE!</v>
      </c>
      <c r="H273" s="227" t="e">
        <f ca="1">SUMIFS($AH$35:$AH$134,$AL$35:$AL$134,F273)+SUMIFS($AI$35:$AI$134,$AM$35:$AM$134,F273) + AB14</f>
        <v>#VALUE!</v>
      </c>
      <c r="I273" t="s">
        <v>484</v>
      </c>
    </row>
    <row r="274" spans="5:9" x14ac:dyDescent="0.25">
      <c r="E274" t="str">
        <f>'Hidden Lists and Summaries'!$B$5</f>
        <v>Embodied (Upstream)</v>
      </c>
      <c r="F274" t="s">
        <v>214</v>
      </c>
      <c r="G274" t="e">
        <f t="shared" si="9"/>
        <v>#DIV/0!</v>
      </c>
      <c r="H274">
        <f>SUMIFS($AH$35:$AH$134,$AL$35:$AL$134,F274)+SUMIFS($AI$35:$AI$134,$AM$35:$AM$134,F274)</f>
        <v>0</v>
      </c>
      <c r="I274" t="s">
        <v>484</v>
      </c>
    </row>
    <row r="275" spans="5:9" x14ac:dyDescent="0.25">
      <c r="E275" t="str">
        <f>'Hidden Lists and Summaries'!$B$5</f>
        <v>Embodied (Upstream)</v>
      </c>
      <c r="F275" t="s">
        <v>243</v>
      </c>
      <c r="G275" t="e">
        <f t="shared" si="9"/>
        <v>#DIV/0!</v>
      </c>
      <c r="H275">
        <f>SUMIFS($AH$35:$AH$134,$AL$35:$AL$134,F275)+SUMIFS($AI$35:$AI$134,$AM$35:$AM$134,F275)</f>
        <v>0</v>
      </c>
      <c r="I275" t="s">
        <v>484</v>
      </c>
    </row>
    <row r="276" spans="5:9" x14ac:dyDescent="0.25">
      <c r="E276" t="str">
        <f>'Hidden Lists and Summaries'!$B$5</f>
        <v>Embodied (Upstream)</v>
      </c>
      <c r="F276" t="s">
        <v>286</v>
      </c>
      <c r="G276" t="e">
        <f t="shared" si="9"/>
        <v>#DIV/0!</v>
      </c>
      <c r="H276">
        <f>SUMIFS($AH$35:$AH$134,$AL$35:$AL$134,F276)+SUMIFS($AI$35:$AI$134,$AM$35:$AM$134,F276)</f>
        <v>0</v>
      </c>
      <c r="I276" t="s">
        <v>484</v>
      </c>
    </row>
    <row r="277" spans="5:9" x14ac:dyDescent="0.25">
      <c r="E277" t="str">
        <f>'Hidden Lists and Summaries'!$B$5</f>
        <v>Embodied (Upstream)</v>
      </c>
      <c r="F277" t="s">
        <v>486</v>
      </c>
      <c r="G277" t="e">
        <f t="shared" si="9"/>
        <v>#DIV/0!</v>
      </c>
      <c r="H277">
        <f>SUMIFS($AH$35:$AH$134,$AL$35:$AL$134,F277)+SUMIFS($AI$35:$AI$134,$AM$35:$AM$134,F277)</f>
        <v>0</v>
      </c>
      <c r="I277"/>
    </row>
    <row r="278" spans="5:9" x14ac:dyDescent="0.25">
      <c r="E278" t="str">
        <f>'Hidden Lists and Summaries'!B6</f>
        <v>Steam Supply</v>
      </c>
      <c r="F278"/>
      <c r="G278" t="e">
        <f t="shared" si="9"/>
        <v>#DIV/0!</v>
      </c>
      <c r="H278">
        <f>SUMIFS($AH$35:$AH$134,$AJ$35:$AJ$134,E278)+SUMIFS($AI$35:$AI$134,$AK$35:$AK$134,E278)</f>
        <v>0</v>
      </c>
      <c r="I278" t="s">
        <v>487</v>
      </c>
    </row>
    <row r="279" spans="5:9" x14ac:dyDescent="0.25">
      <c r="E279" t="str">
        <f>'Hidden Lists and Summaries'!B7</f>
        <v>Electricity Supply</v>
      </c>
      <c r="F279"/>
      <c r="G279" t="e">
        <f t="shared" si="9"/>
        <v>#DIV/0!</v>
      </c>
      <c r="H279">
        <f>SUMIFS($AH$35:$AH$134,$AJ$35:$AJ$134,E279)+SUMIFS($AI$35:$AI$134,$AK$35:$AK$134,E279)</f>
        <v>0</v>
      </c>
      <c r="I279" t="s">
        <v>487</v>
      </c>
    </row>
    <row r="280" spans="5:9" x14ac:dyDescent="0.25">
      <c r="E280" t="str">
        <f>'Hidden Lists and Summaries'!B8</f>
        <v>Fuel Combustion</v>
      </c>
      <c r="F280"/>
      <c r="G280" t="e">
        <f t="shared" si="9"/>
        <v>#DIV/0!</v>
      </c>
      <c r="H280">
        <f>SUMIFS($AH$35:$AH$134,$AJ$35:$AJ$134,E280)+SUMIFS($AI$35:$AI$134,$AK$35:$AK$134,E280)</f>
        <v>0</v>
      </c>
      <c r="I280" t="s">
        <v>487</v>
      </c>
    </row>
    <row r="281" spans="5:9" x14ac:dyDescent="0.25">
      <c r="E281" t="str">
        <f>'Hidden Lists and Summaries'!B9</f>
        <v>Industrial Process</v>
      </c>
      <c r="F281"/>
      <c r="G281" t="e">
        <f t="shared" si="9"/>
        <v>#DIV/0!</v>
      </c>
      <c r="H281">
        <f>SUMIFS($AH$35:$AH$134,$AJ$35:$AJ$134,E281)+SUMIFS($AI$35:$AI$134,$AK$35:$AK$134,E281)</f>
        <v>0</v>
      </c>
      <c r="I281" t="s">
        <v>487</v>
      </c>
    </row>
    <row r="282" spans="5:9" x14ac:dyDescent="0.25">
      <c r="E282" t="str">
        <f>'Hidden Lists and Summaries'!B10</f>
        <v>Accrued</v>
      </c>
      <c r="F282"/>
      <c r="G282" t="e">
        <f t="shared" si="9"/>
        <v>#DIV/0!</v>
      </c>
      <c r="H282">
        <f>SUMIFS($AH$35:$AH$134,$AJ$35:$AJ$134,E282)+SUMIFS($AI$35:$AI$134,$AK$35:$AK$134,E282)</f>
        <v>0</v>
      </c>
      <c r="I282" t="s">
        <v>487</v>
      </c>
    </row>
    <row r="283" spans="5:9" x14ac:dyDescent="0.25">
      <c r="E283" t="s">
        <v>488</v>
      </c>
      <c r="F283"/>
      <c r="G283" t="e">
        <f t="shared" ref="G283:G289" si="10">H283/ammCrack_quantityProduced_tonnes</f>
        <v>#DIV/0!</v>
      </c>
      <c r="H283">
        <f>SUM(O120:O122)</f>
        <v>0</v>
      </c>
      <c r="I283" t="s">
        <v>487</v>
      </c>
    </row>
    <row r="284" spans="5:9" x14ac:dyDescent="0.25">
      <c r="E284" t="s">
        <v>374</v>
      </c>
      <c r="F284" s="1118"/>
      <c r="G284" t="e">
        <f t="shared" si="10"/>
        <v>#DIV/0!</v>
      </c>
      <c r="H284" s="227">
        <f>O141</f>
        <v>0</v>
      </c>
      <c r="I284" t="s">
        <v>489</v>
      </c>
    </row>
    <row r="285" spans="5:9" x14ac:dyDescent="0.25">
      <c r="E285" t="s">
        <v>375</v>
      </c>
      <c r="F285" s="1118"/>
      <c r="G285" t="e">
        <f t="shared" si="10"/>
        <v>#DIV/0!</v>
      </c>
      <c r="H285" s="227">
        <f>O150</f>
        <v>0</v>
      </c>
      <c r="I285" t="s">
        <v>489</v>
      </c>
    </row>
    <row r="286" spans="5:9" x14ac:dyDescent="0.25">
      <c r="E286" t="s">
        <v>919</v>
      </c>
      <c r="F286" s="1118"/>
      <c r="G286" t="e">
        <f t="shared" si="10"/>
        <v>#DIV/0!</v>
      </c>
      <c r="H286" s="227">
        <f>O156</f>
        <v>0</v>
      </c>
      <c r="I286" t="s">
        <v>489</v>
      </c>
    </row>
    <row r="287" spans="5:9" x14ac:dyDescent="0.25">
      <c r="E287" t="s">
        <v>382</v>
      </c>
      <c r="F287" s="1118"/>
      <c r="G287" t="e">
        <f t="shared" si="10"/>
        <v>#DIV/0!</v>
      </c>
      <c r="H287" s="227">
        <f>Y123</f>
        <v>0</v>
      </c>
      <c r="I287" t="s">
        <v>489</v>
      </c>
    </row>
    <row r="288" spans="5:9" x14ac:dyDescent="0.25">
      <c r="E288" t="s">
        <v>920</v>
      </c>
      <c r="F288" s="1118"/>
      <c r="G288" t="e">
        <f t="shared" si="10"/>
        <v>#DIV/0!</v>
      </c>
      <c r="H288" s="227">
        <f>O173</f>
        <v>0</v>
      </c>
      <c r="I288"/>
    </row>
    <row r="289" spans="5:9" x14ac:dyDescent="0.25">
      <c r="E289" t="s">
        <v>490</v>
      </c>
      <c r="F289" s="1118"/>
      <c r="G289" t="e">
        <f t="shared" si="10"/>
        <v>#DIV/0!</v>
      </c>
      <c r="H289" s="227">
        <f>Y119</f>
        <v>0</v>
      </c>
      <c r="I289"/>
    </row>
    <row r="290" spans="5:9" x14ac:dyDescent="0.25">
      <c r="E290" t="s">
        <v>491</v>
      </c>
      <c r="F290"/>
      <c r="G290" t="e">
        <f>H290/ammCrack_quantityProduced_tonnes</f>
        <v>#DIV/0!</v>
      </c>
      <c r="H290">
        <f>downstream_transport_emissions</f>
        <v>0</v>
      </c>
      <c r="I290" t="s">
        <v>492</v>
      </c>
    </row>
    <row r="291" spans="5:9" x14ac:dyDescent="0.25">
      <c r="E291" t="s">
        <v>493</v>
      </c>
      <c r="F291"/>
      <c r="G291" t="e">
        <f>H291/ammCrack_quantityProduced_tonnes</f>
        <v>#DIV/0!</v>
      </c>
      <c r="H291">
        <f>downstream_storage_emissions</f>
        <v>0</v>
      </c>
      <c r="I291" t="s">
        <v>492</v>
      </c>
    </row>
    <row r="292" spans="5:9" x14ac:dyDescent="0.25">
      <c r="E292" t="s">
        <v>383</v>
      </c>
      <c r="F292"/>
      <c r="G292" t="e">
        <f>H292/ammCrack_quantityProduced_tonnes</f>
        <v>#DIV/0!</v>
      </c>
      <c r="H292" s="227">
        <f>O166</f>
        <v>0</v>
      </c>
      <c r="I292" t="s">
        <v>489</v>
      </c>
    </row>
    <row r="293" spans="5:9" x14ac:dyDescent="0.25">
      <c r="E293" t="s">
        <v>494</v>
      </c>
      <c r="F293"/>
      <c r="G293" s="227"/>
      <c r="H293" s="227">
        <f>('Transport - Downstream'!$H$121+'Transport - Downstream'!$H$122)</f>
        <v>0</v>
      </c>
      <c r="I293" s="1118" t="s">
        <v>495</v>
      </c>
    </row>
    <row r="294" spans="5:9" x14ac:dyDescent="0.25">
      <c r="E294" t="s">
        <v>496</v>
      </c>
      <c r="F294"/>
      <c r="G294" s="227"/>
      <c r="H294" s="227">
        <f>'Transport - Downstream'!$H$123</f>
        <v>0</v>
      </c>
      <c r="I294" s="1118" t="s">
        <v>495</v>
      </c>
    </row>
  </sheetData>
  <sheetProtection selectLockedCells="1" selectUnlockedCells="1"/>
  <mergeCells count="32">
    <mergeCell ref="B3:Q3"/>
    <mergeCell ref="AL33:AL34"/>
    <mergeCell ref="AM33:AM34"/>
    <mergeCell ref="AH31:AM32"/>
    <mergeCell ref="I29:I30"/>
    <mergeCell ref="AH33:AH34"/>
    <mergeCell ref="AI33:AI34"/>
    <mergeCell ref="AJ33:AJ34"/>
    <mergeCell ref="AK33:AK34"/>
    <mergeCell ref="AA219:AB219"/>
    <mergeCell ref="Y220:Z220"/>
    <mergeCell ref="H90:J90"/>
    <mergeCell ref="I91:I92"/>
    <mergeCell ref="J91:J92"/>
    <mergeCell ref="K91:K92"/>
    <mergeCell ref="AA209:AB209"/>
    <mergeCell ref="AA210:AB210"/>
    <mergeCell ref="Y216:Z216"/>
    <mergeCell ref="AA217:AB217"/>
    <mergeCell ref="AA218:AB218"/>
    <mergeCell ref="H38:H39"/>
    <mergeCell ref="H64:H65"/>
    <mergeCell ref="H73:H74"/>
    <mergeCell ref="H82:J82"/>
    <mergeCell ref="I83:I84"/>
    <mergeCell ref="J83:J84"/>
    <mergeCell ref="C52:C53"/>
    <mergeCell ref="Y221:Z221"/>
    <mergeCell ref="Y233:Z233"/>
    <mergeCell ref="Y246:Z246"/>
    <mergeCell ref="Y247:Z247"/>
    <mergeCell ref="K83:K84"/>
  </mergeCells>
  <conditionalFormatting sqref="C13">
    <cfRule type="expression" dxfId="83" priority="11">
      <formula>#REF!="No"</formula>
    </cfRule>
  </conditionalFormatting>
  <conditionalFormatting sqref="C14:F15">
    <cfRule type="expression" dxfId="82" priority="2">
      <formula>$E$13="Yes"</formula>
    </cfRule>
  </conditionalFormatting>
  <conditionalFormatting sqref="E13">
    <cfRule type="expression" dxfId="81" priority="1">
      <formula>$E$13="Yes"</formula>
    </cfRule>
    <cfRule type="expression" dxfId="80" priority="12">
      <formula>#REF!="No"</formula>
    </cfRule>
  </conditionalFormatting>
  <conditionalFormatting sqref="H87 H89">
    <cfRule type="expression" dxfId="79" priority="4">
      <formula>AND(NOT(ISNUMBER(AB87)),$F87&lt;&gt;"")</formula>
    </cfRule>
  </conditionalFormatting>
  <conditionalFormatting sqref="H94:H98">
    <cfRule type="expression" dxfId="78" priority="17">
      <formula>AND(NOT(ISNUMBER(AB94)),$F94&lt;&gt;"")</formula>
    </cfRule>
  </conditionalFormatting>
  <conditionalFormatting sqref="I38:I39">
    <cfRule type="expression" dxfId="77" priority="31">
      <formula>($H$41&lt;&gt;"")</formula>
    </cfRule>
  </conditionalFormatting>
  <conditionalFormatting sqref="I41">
    <cfRule type="expression" dxfId="76" priority="30">
      <formula>($H$41&lt;&gt;"")</formula>
    </cfRule>
  </conditionalFormatting>
  <conditionalFormatting sqref="K87 K89">
    <cfRule type="expression" dxfId="65" priority="3">
      <formula>AND(NOT(ISNUMBER($AA87)),$F87&lt;&gt;"")</formula>
    </cfRule>
  </conditionalFormatting>
  <conditionalFormatting sqref="K94:K98">
    <cfRule type="expression" dxfId="64" priority="13">
      <formula>AND(NOT(ISNUMBER($AA94)),$F94&lt;&gt;"")</formula>
    </cfRule>
  </conditionalFormatting>
  <dataValidations count="23">
    <dataValidation type="decimal" operator="greaterThan" allowBlank="1" showInputMessage="1" showErrorMessage="1" sqref="E14:E15" xr:uid="{D0616C49-625E-4B3D-8C37-05294EAAE7E1}">
      <formula1>0</formula1>
    </dataValidation>
    <dataValidation allowBlank="1" showInputMessage="1" showErrorMessage="1" prompt="Enter percentage (%) purity at gate" sqref="E24" xr:uid="{56ACA118-FB2A-4CF8-94D0-C749CE01F3A5}"/>
    <dataValidation type="decimal" operator="greaterThanOrEqual" allowBlank="1" showInputMessage="1" showErrorMessage="1" sqref="F41 G94:G98 G130:G133 J32:J34 E140 G87:G89 G105:G111 F76:F79 E148:E149 H76:H79 G32:G34 E156 F172:F173 E118:E123 F67:F69" xr:uid="{E618D8BB-8C16-4C22-B27C-B74092412541}">
      <formula1>0</formula1>
    </dataValidation>
    <dataValidation type="decimal" operator="greaterThan" allowBlank="1" showInputMessage="1" showErrorMessage="1" prompt="If no bespoke factor entered, a default will be selected." sqref="I94:J98 I87:J89" xr:uid="{3602EB63-9211-48B7-AEC3-14771AEFEB52}">
      <formula1>0</formula1>
    </dataValidation>
    <dataValidation type="decimal" operator="greaterThanOrEqual" allowBlank="1" showInputMessage="1" showErrorMessage="1" prompt="Leave blank to use default value." sqref="H67:H69" xr:uid="{E26C3381-F1C7-49E3-96DF-DC18755340F1}">
      <formula1>0</formula1>
    </dataValidation>
    <dataValidation allowBlank="1" showInputMessage="1" showErrorMessage="1" prompt="i.e. river water, groundwater, etc." sqref="E41" xr:uid="{66CA7E34-15DC-484D-85E5-F216F00E5F41}"/>
    <dataValidation allowBlank="1" showInputMessage="1" showErrorMessage="1" prompt="Inputs may include chemicals, materials, etc." sqref="E76:E79" xr:uid="{4C608107-BE92-4967-9193-94129BE5A8DE}"/>
    <dataValidation type="decimal" operator="greaterThanOrEqual" allowBlank="1" showInputMessage="1" showErrorMessage="1" prompt="If no bespoke factor is entered a default will be selected._x000a__x000a_Note no defaults exist for some fuels. Cell will appear red if no default exists_x000a_" sqref="K94:K98 K87:K89" xr:uid="{D7583EC0-94C2-40EE-AE11-7944D89D26E4}">
      <formula1>0</formula1>
    </dataValidation>
    <dataValidation type="decimal" operator="greaterThanOrEqual" showInputMessage="1" showErrorMessage="1" sqref="E147" xr:uid="{DB396388-D2D2-40F2-8456-C3EFEF5E5410}">
      <formula1>0</formula1>
    </dataValidation>
    <dataValidation type="decimal" operator="greaterThanOrEqual" allowBlank="1" showInputMessage="1" showErrorMessage="1" prompt="Leave blank to use default value" sqref="I32:I34" xr:uid="{77E2AEAF-5E1B-4B0B-8FBA-9F465FF01746}">
      <formula1>0</formula1>
    </dataValidation>
    <dataValidation allowBlank="1" showInputMessage="1" showErrorMessage="1" prompt="Leave blank to use default value" sqref="H41" xr:uid="{4B451F2D-1F72-4888-BCBD-6C9321FC3A5B}"/>
    <dataValidation type="decimal" operator="greaterThanOrEqual" allowBlank="1" showInputMessage="1" showErrorMessage="1" prompt="Value must be entered to use default emission factor" sqref="I41" xr:uid="{30B938D1-EED4-4B86-A20D-7654B2C6CACA}">
      <formula1>0</formula1>
    </dataValidation>
    <dataValidation allowBlank="1" showDropDown="1" showInputMessage="1" showErrorMessage="1" sqref="C48:C49 C52 AD48:AD51 AE52" xr:uid="{0B309425-0F0C-4DFA-AF6C-50E423250861}"/>
    <dataValidation type="decimal" showInputMessage="1" showErrorMessage="1" error="Quantity sold must be equal to or less than quantity produced." sqref="F156" xr:uid="{0EBC09DF-F1C2-4F89-B251-ABD1B669EF87}">
      <formula1>0</formula1>
      <formula2>E156</formula2>
    </dataValidation>
    <dataValidation type="decimal" operator="greaterThanOrEqual" showInputMessage="1" showErrorMessage="1" error="Quantity sold must be greater than or equal to 0." sqref="F147:F149" xr:uid="{00B5F518-7411-41E2-8D12-12637F027DEE}">
      <formula1>0</formula1>
    </dataValidation>
    <dataValidation type="decimal" operator="greaterThanOrEqual" allowBlank="1" showInputMessage="1" showErrorMessage="1" prompt="Input total electricity consumption allocated to this process from all electricity sources" sqref="E48" xr:uid="{5AAD3AB4-8538-4D4D-B2A2-D2FF46C0652F}">
      <formula1>0</formula1>
    </dataValidation>
    <dataValidation allowBlank="1" showInputMessage="1" showErrorMessage="1" prompt="Enter contaminant information, i.e. type and concentration" sqref="E25" xr:uid="{8C425FC6-9E95-454A-A9B7-F1B830BD841D}"/>
    <dataValidation allowBlank="1" showInputMessage="1" showErrorMessage="1" prompt="Input total quantity of steam produced via a Combined Heat and Power system consumed by this process. Value must be less than or equal to the total steam produced via CHP input into 'Electricity Usage' tab." sqref="E59" xr:uid="{205708AA-B499-428B-A6E4-F46C41351CBA}"/>
    <dataValidation type="decimal" operator="greaterThanOrEqual" allowBlank="1" showInputMessage="1" showErrorMessage="1" prompt="Input total quantity of renewable electricity allocated to this process. Value must be less than or equal to the total renewable electricity input into 'Electricity Usage' tab." sqref="E49" xr:uid="{6BEA16F4-5088-42C6-86B0-D626B847A699}">
      <formula1>0</formula1>
    </dataValidation>
    <dataValidation type="decimal" operator="greaterThanOrEqual" allowBlank="1" showInputMessage="1" showErrorMessage="1" prompt="Input total quantity of grid electricity allocated to this process. Value must be less than or equal to the total grid electricity input into 'Electricity Usage' tab." sqref="E51" xr:uid="{214F45B3-C018-41F5-A86B-932A02FD1E0C}">
      <formula1>0</formula1>
    </dataValidation>
    <dataValidation type="decimal" operator="greaterThanOrEqual" allowBlank="1" showInputMessage="1" showErrorMessage="1" prompt="Input total quantity of onsite electricity generated via fuel combustion allocated to this process. Value must be less than or equal to the total input into 'Electricity Usage' tab." sqref="E52" xr:uid="{447B0BDD-1FCD-476C-A5B1-FC406E18D42F}">
      <formula1>0</formula1>
    </dataValidation>
    <dataValidation allowBlank="1" showInputMessage="1" showErrorMessage="1" prompt="Note: All Co-Product names must be unique." sqref="C163:C165" xr:uid="{2F78053A-DC53-43A4-8788-82278C0CCB21}"/>
    <dataValidation type="list" allowBlank="1" showInputMessage="1" showErrorMessage="1" sqref="F48:F49 F51:F52" xr:uid="{551086CE-8C23-42B8-A4D5-9AC6971FAC1C}">
      <formula1>Energy_Units_Options</formula1>
    </dataValidation>
  </dataValidations>
  <pageMargins left="0.7" right="0.7" top="0.75" bottom="0.75" header="0.3" footer="0.3"/>
  <pageSetup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2" id="{B10ECBCA-88F0-4377-A52A-D4A3CDBD8894}">
            <xm:f>OR((OR(($F32='Key Values'!$B$26),($F32='Key Values'!$B$27))),(OR(($F33='Key Values'!$B$26),($F33='Key Values'!$B$27))),(OR(($F34='Key Values'!$B$26),($F34='Key Values'!$B$27))))</xm:f>
            <x14:dxf>
              <font>
                <color auto="1"/>
              </font>
              <fill>
                <patternFill patternType="solid">
                  <bgColor rgb="FF00A7D3"/>
                </patternFill>
              </fill>
            </x14:dxf>
          </x14:cfRule>
          <xm:sqref>J30</xm:sqref>
        </x14:conditionalFormatting>
        <x14:conditionalFormatting xmlns:xm="http://schemas.microsoft.com/office/excel/2006/main">
          <x14:cfRule type="expression" priority="26" id="{F10C3712-1BBA-4818-98B9-F1A580B73CD1}">
            <xm:f>OR(($F32='Key Values'!$B$26),($F32='Key Values'!$B$27))</xm:f>
            <x14:dxf>
              <border>
                <top style="thin">
                  <color auto="1"/>
                </top>
                <bottom/>
                <vertical/>
                <horizontal/>
              </border>
            </x14:dxf>
          </x14:cfRule>
          <xm:sqref>J32</xm:sqref>
        </x14:conditionalFormatting>
        <x14:conditionalFormatting xmlns:xm="http://schemas.microsoft.com/office/excel/2006/main">
          <x14:cfRule type="expression" priority="29" id="{404AEFCE-DCA7-437A-8315-7FFCFF9E0CC0}">
            <xm:f>OR(($F32='Key Values'!$B$26),($F32='Key Values'!$B$27))</xm:f>
            <x14:dxf>
              <font>
                <color auto="1"/>
              </font>
              <fill>
                <patternFill>
                  <bgColor theme="5" tint="0.59996337778862885"/>
                </patternFill>
              </fill>
              <border>
                <left style="hair">
                  <color auto="1"/>
                </left>
                <right style="thin">
                  <color auto="1"/>
                </right>
                <top/>
                <bottom/>
              </border>
            </x14:dxf>
          </x14:cfRule>
          <xm:sqref>J32:J34</xm:sqref>
        </x14:conditionalFormatting>
        <x14:conditionalFormatting xmlns:xm="http://schemas.microsoft.com/office/excel/2006/main">
          <x14:cfRule type="expression" priority="20" id="{7196097E-1BCC-49A1-A5DF-7B4B2C29309C}">
            <xm:f>AND(NOT(OR(($F34='Key Values'!$B$26),($F34='Key Values'!$B$27))),OR(($F33='Key Values'!$B$26),($F33='Key Values'!$B$27)))</xm:f>
            <x14:dxf>
              <border>
                <bottom style="thin">
                  <color auto="1"/>
                </bottom>
                <vertical/>
                <horizontal/>
              </border>
            </x14:dxf>
          </x14:cfRule>
          <x14:cfRule type="expression" priority="21" id="{362538B2-18C8-43FE-8EDE-AAAD2147B328}">
            <xm:f>AND(NOT(OR(($F32='Key Values'!$B$26),($F32='Key Values'!$B$27))),OR(($F33='Key Values'!$B$26),($F33='Key Values'!$B$27)))</xm:f>
            <x14:dxf>
              <border>
                <top style="thin">
                  <color auto="1"/>
                </top>
                <vertical/>
                <horizontal/>
              </border>
            </x14:dxf>
          </x14:cfRule>
          <x14:cfRule type="expression" priority="23" id="{74429D5E-BD5C-4B35-BB9A-EDEBCDD80F26}">
            <xm:f>AND(NOT(OR(($F33='Key Values'!$B$26),($F33='Key Values'!$B$27))),OR(($F32='Key Values'!$B$26),($F32='Key Values'!$B$27)))</xm:f>
            <x14:dxf>
              <border>
                <top style="thin">
                  <color auto="1"/>
                </top>
                <vertical/>
                <horizontal/>
              </border>
            </x14:dxf>
          </x14:cfRule>
          <x14:cfRule type="expression" priority="24" id="{1993C43D-14AD-4B2C-9A53-61E35A76CE87}">
            <xm:f>AND(NOT(OR(($F33='Key Values'!$B$26),($F33='Key Values'!$B$27))),OR(($F34='Key Values'!$B$26),($F34='Key Values'!$B$27)))</xm:f>
            <x14:dxf>
              <border>
                <bottom style="thin">
                  <color auto="1"/>
                </bottom>
                <vertical/>
                <horizontal/>
              </border>
            </x14:dxf>
          </x14:cfRule>
          <x14:cfRule type="expression" priority="25" id="{68C0E0C7-5E8C-4B42-B038-5CE7BFA74325}">
            <xm:f>AND(OR(($F32='Key Values'!$B$26),($F32='Key Values'!$B$27)),OR(($F33='Key Values'!$B$26),($F33='Key Values'!$B$27)))</xm:f>
            <x14:dxf>
              <border>
                <top style="hair">
                  <color auto="1"/>
                </top>
                <vertical/>
                <horizontal/>
              </border>
            </x14:dxf>
          </x14:cfRule>
          <x14:cfRule type="expression" priority="27" id="{5C86714E-E1B3-4907-A41B-4BC915035785}">
            <xm:f>AND(OR(($F33='Key Values'!$B$26),($F33='Key Values'!$B$27)),OR(($F34='Key Values'!$B$26),($F34='Key Values'!$B$27)))</xm:f>
            <x14:dxf>
              <border>
                <bottom style="hair">
                  <color auto="1"/>
                </bottom>
                <vertical/>
                <horizontal/>
              </border>
            </x14:dxf>
          </x14:cfRule>
          <xm:sqref>J33</xm:sqref>
        </x14:conditionalFormatting>
        <x14:conditionalFormatting xmlns:xm="http://schemas.microsoft.com/office/excel/2006/main">
          <x14:cfRule type="expression" priority="28" id="{2BBA192B-4D58-4A87-96B8-274D6B61811F}">
            <xm:f>OR(($F34='Key Values'!$B$26),($F34='Key Values'!$B$27))</xm:f>
            <x14:dxf>
              <border>
                <bottom style="thin">
                  <color auto="1"/>
                </bottom>
                <vertical/>
                <horizontal/>
              </border>
            </x14:dxf>
          </x14:cfRule>
          <xm:sqref>J34</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r:uid="{CB7416F9-F2D4-4767-BDE4-FC121BB6C97F}">
          <x14:formula1>
            <xm:f>'Key Values'!$B$20:$B$27</xm:f>
          </x14:formula1>
          <xm:sqref>F32:F34</xm:sqref>
        </x14:dataValidation>
        <x14:dataValidation type="list" allowBlank="1" showInputMessage="1" showErrorMessage="1" xr:uid="{B801A946-B2CB-4365-8E8C-6C2A5EB9B761}">
          <x14:formula1>
            <xm:f>'Key Values'!$B$35:$B$37</xm:f>
          </x14:formula1>
          <xm:sqref>E94:E98 E87:E89</xm:sqref>
        </x14:dataValidation>
        <x14:dataValidation type="list" allowBlank="1" showInputMessage="1" showErrorMessage="1" xr:uid="{BCD2C895-033F-44EF-810F-08C584F4BDA0}">
          <x14:formula1>
            <xm:f>'Hidden Lists and Summaries'!$B$5:$B$9</xm:f>
          </x14:formula1>
          <xm:sqref>F130:F133</xm:sqref>
        </x14:dataValidation>
        <x14:dataValidation type="list" allowBlank="1" showInputMessage="1" showErrorMessage="1" xr:uid="{AEEAE033-367D-4106-8BF1-5C91D54D191A}">
          <x14:formula1>
            <xm:f>'Hidden Lists and Summaries'!$B$29:$B$34</xm:f>
          </x14:formula1>
          <xm:sqref>G76:G79 G163:G165</xm:sqref>
        </x14:dataValidation>
        <x14:dataValidation type="list" allowBlank="1" showInputMessage="1" showErrorMessage="1" xr:uid="{B375BC46-5E12-4DB0-AB45-6A05FDF9425F}">
          <x14:formula1>
            <xm:f>'Key Values'!$B$313:$B$317</xm:f>
          </x14:formula1>
          <xm:sqref>G41 H32:H34</xm:sqref>
        </x14:dataValidation>
        <x14:dataValidation type="list" allowBlank="1" showInputMessage="1" showErrorMessage="1" xr:uid="{B944F62C-6AF1-4AA5-AA93-6268B5EEBB15}">
          <x14:formula1>
            <xm:f>'Key Values'!$B$291:$B$292</xm:f>
          </x14:formula1>
          <xm:sqref>G147:G149 F14 H105:H111 F12 F22 G67:G69 F59 G156</xm:sqref>
        </x14:dataValidation>
        <x14:dataValidation type="list" allowBlank="1" showDropDown="1" showInputMessage="1" showErrorMessage="1" xr:uid="{88CD69AF-31B2-41C9-BBFA-5A8AA11BDD98}">
          <x14:formula1>
            <xm:f>'Key Values'!$B$303</xm:f>
          </x14:formula1>
          <xm:sqref>F140</xm:sqref>
        </x14:dataValidation>
        <x14:dataValidation type="list" allowBlank="1" showDropDown="1" showInputMessage="1" showErrorMessage="1" xr:uid="{71F0AA7F-CD93-4A47-904B-56F01223DEC8}">
          <x14:formula1>
            <xm:f>'Key Values'!$B$291</xm:f>
          </x14:formula1>
          <xm:sqref>F118:F123 G172:G173</xm:sqref>
        </x14:dataValidation>
        <x14:dataValidation type="list" allowBlank="1" showInputMessage="1" showErrorMessage="1" xr:uid="{F376975F-86BD-4DC6-83D7-D1ABA01B1F4F}">
          <x14:formula1>
            <xm:f>'Hidden Lists and Summaries'!$B$151:$B$152</xm:f>
          </x14:formula1>
          <xm:sqref>E13</xm:sqref>
        </x14:dataValidation>
        <x14:dataValidation type="list" allowBlank="1" showInputMessage="1" showErrorMessage="1" xr:uid="{50C2E9B6-5356-4F25-AAB1-32B7C2E282FB}">
          <x14:formula1>
            <xm:f>'Key Values'!$B$189:$B$192</xm:f>
          </x14:formula1>
          <xm:sqref>E105:E111</xm:sqref>
        </x14:dataValidation>
        <x14:dataValidation type="list" allowBlank="1" showInputMessage="1" showErrorMessage="1" xr:uid="{1147C1B5-9E59-4CC3-81A8-603DAF07582A}">
          <x14:formula1>
            <xm:f>IF($E$111='Key Values'!$B$192,'Key Values'!$B$221,'Key Values'!$B$222:$B$234)</xm:f>
          </x14:formula1>
          <xm:sqref>F111</xm:sqref>
        </x14:dataValidation>
        <x14:dataValidation type="list" allowBlank="1" showInputMessage="1" showErrorMessage="1" xr:uid="{5398E1B7-CD74-459D-81D3-AB9627610AAA}">
          <x14:formula1>
            <xm:f>IF($E$110='Key Values'!$B$192,'Key Values'!$B$221,'Key Values'!$B$222:$B$234)</xm:f>
          </x14:formula1>
          <xm:sqref>F110</xm:sqref>
        </x14:dataValidation>
        <x14:dataValidation type="list" allowBlank="1" showInputMessage="1" showErrorMessage="1" xr:uid="{0B500628-EE81-4B3D-B59B-D9D8FEAA4441}">
          <x14:formula1>
            <xm:f>IF($E$109='Key Values'!$B$192,'Key Values'!$B$221,'Key Values'!$B$222:$B$234)</xm:f>
          </x14:formula1>
          <xm:sqref>F109</xm:sqref>
        </x14:dataValidation>
        <x14:dataValidation type="list" allowBlank="1" showInputMessage="1" showErrorMessage="1" xr:uid="{1D83A507-753E-44CD-B97F-AF1339FD2AA4}">
          <x14:formula1>
            <xm:f>IF($E$107='Key Values'!$B$192,'Key Values'!$B$221,'Key Values'!$B$222:$B$234)</xm:f>
          </x14:formula1>
          <xm:sqref>F107</xm:sqref>
        </x14:dataValidation>
        <x14:dataValidation type="list" allowBlank="1" showInputMessage="1" showErrorMessage="1" xr:uid="{F83FE668-9597-4D9E-B121-D4C9D7373434}">
          <x14:formula1>
            <xm:f>IF($E$106='Key Values'!$B$192,'Key Values'!$B$221,'Key Values'!$B$222:$B$234)</xm:f>
          </x14:formula1>
          <xm:sqref>F106</xm:sqref>
        </x14:dataValidation>
        <x14:dataValidation type="list" allowBlank="1" showInputMessage="1" showErrorMessage="1" xr:uid="{286588A2-85A4-4B28-B26F-5EC40E718AB3}">
          <x14:formula1>
            <xm:f>IF($E$105='Key Values'!$B$192,'Key Values'!$B$221,'Key Values'!$B$222:$B$234)</xm:f>
          </x14:formula1>
          <xm:sqref>F105</xm:sqref>
        </x14:dataValidation>
        <x14:dataValidation type="list" allowBlank="1" showInputMessage="1" showErrorMessage="1" xr:uid="{9BB24DC8-4A3D-4799-AEF1-6D10CD7FA515}">
          <x14:formula1>
            <xm:f>IF($E$108='Key Values'!$B$192,'Key Values'!$B$221,'Key Values'!$B$222:$B$234)</xm:f>
          </x14:formula1>
          <xm:sqref>F108</xm:sqref>
        </x14:dataValidation>
        <x14:dataValidation type="list" operator="greaterThan" allowBlank="1" showInputMessage="1" showErrorMessage="1" xr:uid="{69417F4C-13F0-4534-B591-4AA10E7779AE}">
          <x14:formula1>
            <xm:f>'Key Values'!$B$197:$B$204</xm:f>
          </x14:formula1>
          <xm:sqref>J67:J69 H147:H149</xm:sqref>
        </x14:dataValidation>
        <x14:dataValidation type="list" allowBlank="1" showInputMessage="1" showErrorMessage="1" xr:uid="{E6374332-EEA3-4B4C-B858-B1186F38901E}">
          <x14:formula1>
            <xm:f>'Key Values'!$B$209:$B$217</xm:f>
          </x14:formula1>
          <xm:sqref>I67:I69</xm:sqref>
        </x14:dataValidation>
        <x14:dataValidation type="list" allowBlank="1" showInputMessage="1" showErrorMessage="1" xr:uid="{AAF0FCE2-A636-4AEE-A368-2A197E8B0401}">
          <x14:formula1>
            <xm:f>IF(E87="Solid Fuel", 'Key Values'!$B$41:$B$58,IF(E87="Gaseous Fuel",'Key Values'!$B$72:$B$85,'Key Values'!$B$101:$B$120))</xm:f>
          </x14:formula1>
          <xm:sqref>F94:F98 F87:F89</xm:sqref>
        </x14:dataValidation>
        <x14:dataValidation type="list" allowBlank="1" showInputMessage="1" showErrorMessage="1" prompt="Cell will appear red if incompatible unit is selected" xr:uid="{24CAE4C9-4660-4521-86B4-E33FAEAA9C5B}">
          <x14:formula1>
            <xm:f>IF(OR(AND(E87="Liquid Fuel", _xlfn.IFNA(VLOOKUP(F87,'Key Values'!$B$101:$H$120,3,FALSE)="GJ/t", FALSE) ),E87="Solid Fuel"),'Key Values'!$B$291:$B$292, 'Key Values'!$B$296:$B$298)</xm:f>
          </x14:formula1>
          <xm:sqref>H94:H98 H87:H89</xm:sqref>
        </x14:dataValidation>
        <x14:dataValidation type="list" allowBlank="1" showInputMessage="1" showErrorMessage="1" xr:uid="{7FCAA84C-A678-4E40-B98D-C36A6447886C}">
          <x14:formula1>
            <xm:f>'Key Values'!B$291:B$292</xm:f>
          </x14:formula1>
          <xm:sqref>H130:H133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32F3-E16E-4EF0-B35E-D00A727E9752}">
  <sheetPr codeName="Sheet6">
    <tabColor theme="5" tint="0.39997558519241921"/>
  </sheetPr>
  <dimension ref="A1:AQ339"/>
  <sheetViews>
    <sheetView showGridLines="0" zoomScale="55" zoomScaleNormal="55" workbookViewId="0">
      <selection activeCell="C47" sqref="C47"/>
    </sheetView>
  </sheetViews>
  <sheetFormatPr defaultColWidth="8.54296875" defaultRowHeight="15.5" x14ac:dyDescent="0.25"/>
  <cols>
    <col min="1" max="1" width="4.54296875" style="1069" customWidth="1"/>
    <col min="2" max="2" width="3.54296875" style="1069" customWidth="1"/>
    <col min="3" max="3" width="44.81640625" style="1069" customWidth="1"/>
    <col min="4" max="4" width="4.54296875" style="1069" customWidth="1"/>
    <col min="5" max="11" width="40.54296875" style="1069" customWidth="1"/>
    <col min="12" max="13" width="11.81640625" style="1069" customWidth="1"/>
    <col min="14" max="14" width="24" style="1069" customWidth="1"/>
    <col min="15" max="15" width="29.453125" style="1069" customWidth="1"/>
    <col min="16" max="16" width="5.81640625" style="1069" customWidth="1"/>
    <col min="17" max="18" width="8.54296875" style="1069" customWidth="1"/>
    <col min="19" max="19" width="15.54296875" style="1069" customWidth="1"/>
    <col min="20" max="21" width="8.54296875" style="1069" customWidth="1"/>
    <col min="22" max="22" width="14.453125" style="1069" customWidth="1"/>
    <col min="23" max="23" width="8.54296875" style="1069" customWidth="1"/>
    <col min="24" max="24" width="14.1796875" style="1069" customWidth="1"/>
    <col min="25" max="29" width="50.54296875" style="1069" customWidth="1"/>
    <col min="30" max="30" width="20.453125" style="1069" customWidth="1"/>
    <col min="31" max="31" width="19.453125" style="1069" customWidth="1"/>
    <col min="32" max="32" width="41.453125" style="1069" bestFit="1" customWidth="1"/>
    <col min="33" max="33" width="8.54296875" style="1069" customWidth="1"/>
    <col min="34" max="34" width="21.1796875" style="1069" customWidth="1"/>
    <col min="35" max="35" width="18" style="1069" customWidth="1"/>
    <col min="36" max="36" width="29.54296875" style="1069" customWidth="1"/>
    <col min="37" max="37" width="34.54296875" style="1069" customWidth="1"/>
    <col min="38" max="16384" width="8.54296875" style="1069"/>
  </cols>
  <sheetData>
    <row r="1" spans="1:32" ht="33" customHeight="1" x14ac:dyDescent="0.25"/>
    <row r="2" spans="1:32" ht="298.5" customHeight="1" x14ac:dyDescent="0.25"/>
    <row r="3" spans="1:32" ht="42" customHeight="1" x14ac:dyDescent="0.25">
      <c r="C3" s="1884" t="s">
        <v>175</v>
      </c>
      <c r="D3" s="1884"/>
      <c r="E3" s="1884"/>
      <c r="F3" s="1884"/>
      <c r="G3" s="1884"/>
      <c r="H3" s="1884"/>
      <c r="I3" s="1884"/>
      <c r="J3" s="1884"/>
      <c r="K3" s="1884"/>
      <c r="L3" s="1884"/>
      <c r="M3" s="1884"/>
      <c r="N3" s="1884"/>
      <c r="O3" s="1884"/>
      <c r="P3" s="1884"/>
      <c r="Q3" s="1884"/>
      <c r="R3" s="1884"/>
    </row>
    <row r="4" spans="1:32" ht="15.65" customHeight="1" x14ac:dyDescent="0.25">
      <c r="B4" s="1070"/>
      <c r="C4" s="1070"/>
      <c r="D4" s="1070"/>
      <c r="E4" s="1070"/>
      <c r="F4" s="1070"/>
      <c r="G4" s="1070"/>
      <c r="H4" s="1070"/>
      <c r="I4" s="1070"/>
      <c r="J4" s="1070"/>
      <c r="K4" s="1070"/>
      <c r="L4" s="1070"/>
      <c r="M4" s="1070"/>
      <c r="N4" s="1070"/>
      <c r="O4" s="1070"/>
      <c r="P4" s="1070"/>
      <c r="Q4" s="1070"/>
      <c r="Y4" s="1071"/>
      <c r="Z4" s="1072"/>
      <c r="AA4" s="1072"/>
      <c r="AB4" s="1072"/>
      <c r="AC4" s="1072"/>
      <c r="AD4" s="1072"/>
      <c r="AE4" s="1073"/>
      <c r="AF4" s="1491"/>
    </row>
    <row r="5" spans="1:32" ht="15.65" customHeight="1" x14ac:dyDescent="0.25">
      <c r="B5" s="1070"/>
      <c r="C5" s="1074" t="s">
        <v>921</v>
      </c>
      <c r="D5" s="1070"/>
      <c r="E5" s="1070"/>
      <c r="F5" s="1070"/>
      <c r="G5" s="1070"/>
      <c r="H5" s="1070"/>
      <c r="I5" s="1070"/>
      <c r="J5" s="1070"/>
      <c r="K5" s="1070"/>
      <c r="L5" s="1070"/>
      <c r="M5" s="1070"/>
      <c r="N5" s="1070"/>
      <c r="O5" s="1070"/>
      <c r="P5" s="1070"/>
      <c r="Q5" s="1070"/>
      <c r="Y5" s="1075" t="s">
        <v>72</v>
      </c>
      <c r="Z5" s="1076"/>
      <c r="AA5" s="1076"/>
      <c r="AB5" s="1076"/>
      <c r="AC5" s="1076"/>
      <c r="AD5" s="1076"/>
      <c r="AE5" s="1077"/>
      <c r="AF5" s="1077"/>
    </row>
    <row r="6" spans="1:32" ht="15.65" customHeight="1" x14ac:dyDescent="0.25">
      <c r="B6" s="1070"/>
      <c r="C6" s="1070"/>
      <c r="D6" s="1070"/>
      <c r="E6" s="1070"/>
      <c r="F6" s="1070"/>
      <c r="G6" s="1070"/>
      <c r="H6" s="1070"/>
      <c r="I6" s="1070"/>
      <c r="J6" s="1070"/>
      <c r="K6" s="1070"/>
      <c r="L6" s="1070"/>
      <c r="M6" s="1070"/>
      <c r="N6" s="1070"/>
      <c r="O6" s="1070"/>
      <c r="P6" s="1070"/>
      <c r="Q6" s="1070"/>
      <c r="Y6" s="1078"/>
      <c r="Z6" s="1076"/>
      <c r="AA6" s="1076"/>
      <c r="AB6" s="1076"/>
      <c r="AC6" s="1076"/>
      <c r="AD6" s="1076"/>
      <c r="AE6" s="1077"/>
      <c r="AF6" s="1077"/>
    </row>
    <row r="7" spans="1:32" ht="15.65" customHeight="1" x14ac:dyDescent="0.25">
      <c r="Y7" s="786"/>
      <c r="Z7" s="1148"/>
      <c r="AA7" s="1148"/>
      <c r="AB7" s="1148"/>
      <c r="AC7" s="1148"/>
      <c r="AD7" s="1148"/>
      <c r="AE7" s="1148"/>
      <c r="AF7" s="1080"/>
    </row>
    <row r="8" spans="1:32" ht="15.65" customHeight="1" x14ac:dyDescent="0.25">
      <c r="B8" s="1081"/>
      <c r="C8" s="1082"/>
      <c r="D8" s="1082"/>
      <c r="E8" s="1082"/>
      <c r="F8" s="1082"/>
      <c r="G8" s="1082"/>
      <c r="H8" s="1082"/>
      <c r="I8" s="1082"/>
      <c r="J8" s="1082"/>
      <c r="K8" s="1082"/>
      <c r="L8" s="1082"/>
      <c r="M8" s="1082"/>
      <c r="N8" s="1082"/>
      <c r="O8" s="1082"/>
      <c r="P8" s="1082"/>
      <c r="Q8" s="1083"/>
      <c r="Y8" s="263"/>
      <c r="Z8" s="1079"/>
      <c r="AA8" s="1079"/>
      <c r="AB8" s="1079"/>
      <c r="AC8" s="1079"/>
      <c r="AD8" s="1079"/>
      <c r="AE8" s="1079"/>
      <c r="AF8" s="1080"/>
    </row>
    <row r="9" spans="1:32" ht="15.65" customHeight="1" x14ac:dyDescent="0.25">
      <c r="B9" s="1084"/>
      <c r="C9" s="1109" t="s">
        <v>30</v>
      </c>
      <c r="D9" s="1086"/>
      <c r="E9" s="1086"/>
      <c r="F9" s="1086"/>
      <c r="G9" s="1086"/>
      <c r="H9" s="1086"/>
      <c r="I9" s="1086"/>
      <c r="J9" s="1086"/>
      <c r="K9" s="1086"/>
      <c r="L9" s="1086"/>
      <c r="M9" s="1086"/>
      <c r="N9" s="1086"/>
      <c r="O9" s="1086"/>
      <c r="P9" s="1086"/>
      <c r="Q9" s="1087"/>
      <c r="Y9" s="1088"/>
      <c r="Z9" s="1079"/>
      <c r="AA9" s="1079"/>
      <c r="AB9" s="1079"/>
      <c r="AC9" s="1079"/>
      <c r="AD9" s="1079"/>
      <c r="AE9" s="1079"/>
      <c r="AF9" s="1080"/>
    </row>
    <row r="10" spans="1:32" ht="15.65" customHeight="1" x14ac:dyDescent="0.25">
      <c r="B10" s="1089"/>
      <c r="C10" s="1090"/>
      <c r="D10" s="1090"/>
      <c r="E10" s="1091" t="s">
        <v>177</v>
      </c>
      <c r="F10" s="1091"/>
      <c r="G10" s="1090"/>
      <c r="H10" s="1092"/>
      <c r="I10" s="1092"/>
      <c r="J10" s="1093"/>
      <c r="K10" s="1090"/>
      <c r="L10" s="1090"/>
      <c r="M10" s="1090"/>
      <c r="N10" s="1090"/>
      <c r="O10" s="1090"/>
      <c r="P10" s="1090"/>
      <c r="Q10" s="1094"/>
      <c r="Y10" s="1088"/>
      <c r="Z10" s="1079"/>
      <c r="AA10" s="1079"/>
      <c r="AB10" s="1079"/>
      <c r="AC10" s="1079"/>
      <c r="AD10" s="1079"/>
      <c r="AE10" s="1079"/>
      <c r="AF10" s="1080"/>
    </row>
    <row r="11" spans="1:32" ht="15.65" customHeight="1" x14ac:dyDescent="0.25">
      <c r="B11" s="1095"/>
      <c r="C11" s="1096"/>
      <c r="D11" s="1096"/>
      <c r="E11" s="1097"/>
      <c r="F11" s="1096"/>
      <c r="G11" s="1096"/>
      <c r="H11" s="1098"/>
      <c r="I11" s="1098"/>
      <c r="J11" s="1096"/>
      <c r="K11" s="1096"/>
      <c r="L11" s="1096"/>
      <c r="M11" s="1096"/>
      <c r="N11" s="1096"/>
      <c r="O11" s="1096"/>
      <c r="P11" s="1096"/>
      <c r="Q11" s="1099"/>
      <c r="Y11" s="1088"/>
      <c r="Z11" s="1079"/>
      <c r="AA11" s="1079"/>
      <c r="AB11" s="1079"/>
      <c r="AC11" s="1079"/>
      <c r="AD11" s="1079"/>
      <c r="AE11" s="1079"/>
      <c r="AF11" s="1080"/>
    </row>
    <row r="12" spans="1:32" ht="15.65" customHeight="1" x14ac:dyDescent="0.25">
      <c r="B12" s="1095"/>
      <c r="C12" s="1096" t="s">
        <v>922</v>
      </c>
      <c r="D12" s="1096"/>
      <c r="E12" s="1027"/>
      <c r="F12" s="948" t="s">
        <v>90</v>
      </c>
      <c r="G12" s="1096"/>
      <c r="H12" s="1098"/>
      <c r="I12" s="1098"/>
      <c r="J12" s="1101"/>
      <c r="K12" s="1096"/>
      <c r="L12" s="1096"/>
      <c r="M12" s="1096"/>
      <c r="N12" s="1096"/>
      <c r="O12" s="1096"/>
      <c r="P12" s="1096"/>
      <c r="Q12" s="1099"/>
      <c r="Y12" s="1088"/>
      <c r="Z12" s="1102"/>
      <c r="AA12" s="1079"/>
      <c r="AB12" s="1079"/>
      <c r="AC12" s="1079"/>
      <c r="AD12" s="1079"/>
      <c r="AE12" s="1079"/>
      <c r="AF12" s="1080"/>
    </row>
    <row r="13" spans="1:32" ht="15.65" customHeight="1" x14ac:dyDescent="0.25">
      <c r="B13" s="1095"/>
      <c r="C13" s="1096" t="s">
        <v>923</v>
      </c>
      <c r="D13" s="1096"/>
      <c r="E13" s="944"/>
      <c r="F13" s="1456"/>
      <c r="G13" s="1096"/>
      <c r="H13" s="1098"/>
      <c r="I13" s="1098"/>
      <c r="J13" s="1101"/>
      <c r="K13" s="1096"/>
      <c r="L13" s="1096"/>
      <c r="M13" s="1096"/>
      <c r="N13" s="1096"/>
      <c r="O13" s="1096"/>
      <c r="P13" s="1096"/>
      <c r="Q13" s="1099"/>
      <c r="Y13" s="1088"/>
      <c r="Z13" s="1102"/>
      <c r="AA13" s="1079"/>
      <c r="AB13" s="1079"/>
      <c r="AC13" s="1079"/>
      <c r="AD13" s="1079"/>
      <c r="AE13" s="1079"/>
      <c r="AF13" s="1080"/>
    </row>
    <row r="14" spans="1:32" ht="15.65" customHeight="1" x14ac:dyDescent="0.25">
      <c r="A14" s="1164"/>
      <c r="B14" s="1095"/>
      <c r="C14" s="1096" t="s">
        <v>924</v>
      </c>
      <c r="D14" s="1098"/>
      <c r="E14" s="1497"/>
      <c r="F14" s="1492"/>
      <c r="G14" s="1096"/>
      <c r="H14" s="1456"/>
      <c r="I14" s="1456"/>
      <c r="J14" s="1456"/>
      <c r="K14" s="1456"/>
      <c r="L14" s="1096"/>
      <c r="M14" s="1096"/>
      <c r="N14" s="1096"/>
      <c r="O14" s="1096"/>
      <c r="P14" s="1096"/>
      <c r="Q14" s="1099"/>
      <c r="Y14" s="1121" t="s">
        <v>895</v>
      </c>
      <c r="Z14" s="1121" t="s">
        <v>925</v>
      </c>
      <c r="AA14" s="1121" t="s">
        <v>926</v>
      </c>
      <c r="AB14" s="1121" t="s">
        <v>927</v>
      </c>
      <c r="AC14" s="1121" t="s">
        <v>928</v>
      </c>
      <c r="AD14" s="1079"/>
      <c r="AE14" s="1079"/>
      <c r="AF14" s="1080"/>
    </row>
    <row r="15" spans="1:32" customFormat="1" x14ac:dyDescent="0.25">
      <c r="B15" s="1095"/>
      <c r="C15" s="1096" t="s">
        <v>929</v>
      </c>
      <c r="D15" s="1096"/>
      <c r="E15" s="574"/>
      <c r="F15" s="482" t="s">
        <v>90</v>
      </c>
      <c r="G15" s="1096"/>
      <c r="H15" s="1098"/>
      <c r="I15" s="1098"/>
      <c r="J15" s="1104"/>
      <c r="K15" s="1096"/>
      <c r="L15" s="1096"/>
      <c r="M15" s="1096"/>
      <c r="N15" s="1096"/>
      <c r="O15" s="1096"/>
      <c r="P15" s="1096"/>
      <c r="Q15" s="1099"/>
      <c r="Y15" s="522">
        <f>E12*VLOOKUP(F12,massConv[],2,FALSE)</f>
        <v>0</v>
      </c>
      <c r="Z15" s="533">
        <f>IF(E13="No",E15*VLOOKUP(F15,massConv[],2,FALSE),'Hidden Lists and Summaries'!C46)</f>
        <v>0</v>
      </c>
      <c r="AA15" s="533" t="str">
        <f ca="1">IF(E13="No",E16,lohcProd_netEmissionsIntensity)</f>
        <v>Error -  Review inputs</v>
      </c>
      <c r="AB15" s="533" t="e">
        <f ca="1">Z15*AA15</f>
        <v>#VALUE!</v>
      </c>
      <c r="AC15" s="1493">
        <f>IF(E13="No",E14,lohcProd_pathway)</f>
        <v>0</v>
      </c>
      <c r="AF15" s="261"/>
    </row>
    <row r="16" spans="1:32" customFormat="1" x14ac:dyDescent="0.25">
      <c r="B16" s="1095"/>
      <c r="C16" s="1096" t="s">
        <v>930</v>
      </c>
      <c r="D16" s="1096"/>
      <c r="E16" s="857"/>
      <c r="F16" s="1478" t="s">
        <v>931</v>
      </c>
      <c r="G16" s="1096"/>
      <c r="H16" s="1098"/>
      <c r="I16" s="1098"/>
      <c r="J16" s="1101"/>
      <c r="K16" s="1096"/>
      <c r="L16" s="1096"/>
      <c r="M16" s="1096"/>
      <c r="N16" s="1096"/>
      <c r="O16" s="1096"/>
      <c r="P16" s="1096"/>
      <c r="Q16" s="1099"/>
      <c r="Y16" s="530"/>
      <c r="AF16" s="261"/>
    </row>
    <row r="17" spans="2:39" ht="15.65" customHeight="1" x14ac:dyDescent="0.25">
      <c r="B17" s="1105"/>
      <c r="C17" s="1106"/>
      <c r="D17" s="1106"/>
      <c r="E17" s="1106"/>
      <c r="F17" s="1106"/>
      <c r="G17" s="1106"/>
      <c r="H17" s="1106"/>
      <c r="I17" s="1106"/>
      <c r="J17" s="1106"/>
      <c r="K17" s="1106"/>
      <c r="L17" s="1106"/>
      <c r="M17" s="1106"/>
      <c r="N17" s="1106"/>
      <c r="O17" s="1106"/>
      <c r="P17" s="1106"/>
      <c r="Q17" s="1107"/>
      <c r="Y17" s="1088"/>
      <c r="Z17" s="1079"/>
      <c r="AA17" s="1079"/>
      <c r="AB17" s="1079"/>
      <c r="AC17" s="1079"/>
      <c r="AD17" s="1079"/>
      <c r="AE17" s="1079"/>
      <c r="AF17" s="1080"/>
    </row>
    <row r="18" spans="2:39" customFormat="1" ht="12.5" x14ac:dyDescent="0.25">
      <c r="B18" s="1108"/>
      <c r="C18" s="1108"/>
      <c r="D18" s="1108"/>
      <c r="E18" s="1108"/>
      <c r="F18" s="1108"/>
      <c r="G18" s="1108"/>
      <c r="H18" s="1108"/>
      <c r="I18" s="1108"/>
      <c r="J18" s="1108"/>
      <c r="K18" s="1108"/>
      <c r="L18" s="1108"/>
      <c r="M18" s="1108"/>
      <c r="N18" s="1108"/>
      <c r="O18" s="1108"/>
      <c r="P18" s="1108"/>
      <c r="Q18" s="1108"/>
      <c r="Y18" s="263"/>
      <c r="AF18" s="261"/>
    </row>
    <row r="19" spans="2:39" customFormat="1" ht="12.5" x14ac:dyDescent="0.25">
      <c r="B19" s="1081"/>
      <c r="C19" s="1082"/>
      <c r="D19" s="1082"/>
      <c r="E19" s="1082"/>
      <c r="F19" s="1082"/>
      <c r="G19" s="1082"/>
      <c r="H19" s="1082"/>
      <c r="I19" s="1082"/>
      <c r="J19" s="1082"/>
      <c r="K19" s="1082"/>
      <c r="L19" s="1082"/>
      <c r="M19" s="1082"/>
      <c r="N19" s="1082"/>
      <c r="O19" s="1082"/>
      <c r="P19" s="1082"/>
      <c r="Q19" s="1083"/>
      <c r="Y19" s="263"/>
      <c r="AF19" s="261"/>
    </row>
    <row r="20" spans="2:39" customFormat="1" x14ac:dyDescent="0.25">
      <c r="B20" s="1084"/>
      <c r="C20" s="1109" t="s">
        <v>48</v>
      </c>
      <c r="D20" s="1086"/>
      <c r="E20" s="1110"/>
      <c r="F20" s="1110"/>
      <c r="G20" s="1086"/>
      <c r="H20" s="1086"/>
      <c r="I20" s="1086"/>
      <c r="J20" s="1086"/>
      <c r="K20" s="1086"/>
      <c r="L20" s="1086"/>
      <c r="M20" s="1086"/>
      <c r="N20" s="1086"/>
      <c r="O20" s="1086"/>
      <c r="P20" s="1086"/>
      <c r="Q20" s="1087"/>
      <c r="Y20" s="263"/>
      <c r="AF20" s="261"/>
    </row>
    <row r="21" spans="2:39" customFormat="1" x14ac:dyDescent="0.25">
      <c r="B21" s="1089"/>
      <c r="C21" s="1090"/>
      <c r="D21" s="1090"/>
      <c r="E21" s="1091" t="s">
        <v>31</v>
      </c>
      <c r="F21" s="1091" t="s">
        <v>184</v>
      </c>
      <c r="G21" s="1091"/>
      <c r="H21" s="1111"/>
      <c r="I21" s="1111"/>
      <c r="J21" s="1093"/>
      <c r="K21" s="1093"/>
      <c r="L21" s="1093"/>
      <c r="M21" s="1093"/>
      <c r="N21" s="1093"/>
      <c r="O21" s="1091"/>
      <c r="P21" s="1093"/>
      <c r="Q21" s="1112"/>
      <c r="Y21" s="263"/>
      <c r="AF21" s="261"/>
    </row>
    <row r="22" spans="2:39" customFormat="1" x14ac:dyDescent="0.25">
      <c r="B22" s="1095"/>
      <c r="C22" s="1096"/>
      <c r="D22" s="1096"/>
      <c r="E22" s="1096"/>
      <c r="F22" s="1096"/>
      <c r="G22" s="1096"/>
      <c r="H22" s="1098"/>
      <c r="I22" s="1098"/>
      <c r="J22" s="1096"/>
      <c r="K22" s="1096"/>
      <c r="L22" s="1096"/>
      <c r="M22" s="1096"/>
      <c r="N22" s="1096"/>
      <c r="O22" s="1096"/>
      <c r="P22" s="1096"/>
      <c r="Q22" s="1099"/>
      <c r="Y22" s="1103" t="s">
        <v>185</v>
      </c>
      <c r="AF22" s="261"/>
    </row>
    <row r="23" spans="2:39" customFormat="1" x14ac:dyDescent="0.25">
      <c r="B23" s="1095"/>
      <c r="C23" s="1113" t="s">
        <v>186</v>
      </c>
      <c r="D23" s="1096"/>
      <c r="E23" s="532"/>
      <c r="F23" s="559" t="s">
        <v>90</v>
      </c>
      <c r="G23" s="1096"/>
      <c r="H23" s="1098"/>
      <c r="I23" s="1098"/>
      <c r="J23" s="1096"/>
      <c r="K23" s="1096"/>
      <c r="L23" s="1096"/>
      <c r="M23" s="1096"/>
      <c r="N23" s="1113"/>
      <c r="O23" s="1113"/>
      <c r="P23" s="1113"/>
      <c r="Q23" s="1099"/>
      <c r="Y23" s="1114">
        <f>E23*VLOOKUP(F23,massConv[#All],2,FALSE)</f>
        <v>0</v>
      </c>
      <c r="AF23" s="261"/>
    </row>
    <row r="24" spans="2:39" customFormat="1" x14ac:dyDescent="0.25">
      <c r="B24" s="1095"/>
      <c r="C24" s="1113" t="s">
        <v>578</v>
      </c>
      <c r="D24" s="1096"/>
      <c r="E24" s="483"/>
      <c r="F24" s="1096"/>
      <c r="G24" s="1096"/>
      <c r="H24" s="1098"/>
      <c r="I24" s="1098"/>
      <c r="J24" s="1096"/>
      <c r="K24" s="1096"/>
      <c r="L24" s="1096"/>
      <c r="M24" s="1096"/>
      <c r="N24" s="1113"/>
      <c r="O24" s="1113"/>
      <c r="P24" s="1113"/>
      <c r="Q24" s="1099"/>
      <c r="Y24" s="263"/>
      <c r="AF24" s="261"/>
    </row>
    <row r="25" spans="2:39" customFormat="1" x14ac:dyDescent="0.25">
      <c r="B25" s="1095"/>
      <c r="C25" s="1101" t="s">
        <v>188</v>
      </c>
      <c r="D25" s="1096"/>
      <c r="E25" s="1528"/>
      <c r="F25" s="1113"/>
      <c r="G25" s="1096"/>
      <c r="H25" s="1098"/>
      <c r="I25" s="1098"/>
      <c r="J25" s="1096"/>
      <c r="K25" s="1096"/>
      <c r="L25" s="1096"/>
      <c r="M25" s="1096"/>
      <c r="N25" s="1113"/>
      <c r="O25" s="1113"/>
      <c r="P25" s="1113"/>
      <c r="Q25" s="1099"/>
      <c r="Y25" s="263"/>
      <c r="AF25" s="261"/>
    </row>
    <row r="26" spans="2:39" customFormat="1" x14ac:dyDescent="0.25">
      <c r="B26" s="1095"/>
      <c r="C26" s="1101" t="s">
        <v>190</v>
      </c>
      <c r="D26" s="1096"/>
      <c r="E26" s="347"/>
      <c r="F26" s="1113"/>
      <c r="G26" s="1096"/>
      <c r="H26" s="1098"/>
      <c r="I26" s="1098"/>
      <c r="J26" s="1096"/>
      <c r="K26" s="1096"/>
      <c r="L26" s="1096"/>
      <c r="M26" s="1096"/>
      <c r="N26" s="1113"/>
      <c r="O26" s="1113"/>
      <c r="P26" s="1113"/>
      <c r="Q26" s="1099"/>
      <c r="Y26" s="263"/>
      <c r="AF26" s="261"/>
    </row>
    <row r="27" spans="2:39" customFormat="1" x14ac:dyDescent="0.25">
      <c r="B27" s="1105"/>
      <c r="C27" s="1115"/>
      <c r="D27" s="1106"/>
      <c r="E27" s="1106"/>
      <c r="F27" s="1106"/>
      <c r="G27" s="1106"/>
      <c r="H27" s="1115"/>
      <c r="I27" s="1115"/>
      <c r="J27" s="1106"/>
      <c r="K27" s="1106"/>
      <c r="L27" s="1106"/>
      <c r="M27" s="1106"/>
      <c r="N27" s="1116"/>
      <c r="O27" s="1117"/>
      <c r="P27" s="1117"/>
      <c r="Q27" s="1107"/>
      <c r="Y27" s="263"/>
      <c r="AF27" s="261"/>
    </row>
    <row r="28" spans="2:39" s="1164" customFormat="1" ht="15.65" customHeight="1" x14ac:dyDescent="0.25">
      <c r="B28" s="1108"/>
      <c r="C28" s="1108"/>
      <c r="D28" s="1108"/>
      <c r="E28" s="1108"/>
      <c r="F28" s="1108"/>
      <c r="G28" s="1108"/>
      <c r="H28" s="1102"/>
      <c r="I28" s="1102"/>
      <c r="J28" s="1108"/>
      <c r="K28" s="1108"/>
      <c r="L28" s="1108"/>
      <c r="M28" s="1108"/>
      <c r="N28" s="1163"/>
      <c r="O28" s="1108"/>
      <c r="P28" s="1108"/>
      <c r="Q28" s="1108"/>
      <c r="Y28" s="1165"/>
      <c r="Z28" s="1102"/>
      <c r="AA28" s="1102"/>
      <c r="AB28" s="1102"/>
      <c r="AC28" s="1102"/>
      <c r="AD28" s="1102"/>
      <c r="AE28" s="1102"/>
      <c r="AF28" s="1166"/>
    </row>
    <row r="29" spans="2:39" ht="15.65" customHeight="1" x14ac:dyDescent="0.25">
      <c r="B29" s="1081"/>
      <c r="C29" s="1082"/>
      <c r="D29" s="1082"/>
      <c r="E29" s="1082"/>
      <c r="F29" s="1082"/>
      <c r="G29" s="1082"/>
      <c r="H29" s="1082"/>
      <c r="I29" s="1082"/>
      <c r="J29" s="1082"/>
      <c r="K29" s="1082"/>
      <c r="L29" s="1082"/>
      <c r="M29" s="1082"/>
      <c r="N29" s="1082"/>
      <c r="O29" s="1082"/>
      <c r="P29" s="1082"/>
      <c r="Q29" s="1083"/>
      <c r="Y29" s="1088"/>
      <c r="Z29" s="1079"/>
      <c r="AA29" s="1079"/>
      <c r="AB29" s="1079"/>
      <c r="AC29" s="1079"/>
      <c r="AD29" s="1079"/>
      <c r="AE29" s="1079"/>
      <c r="AF29" s="1080"/>
    </row>
    <row r="30" spans="2:39" ht="15.65" customHeight="1" x14ac:dyDescent="0.25">
      <c r="B30" s="1084"/>
      <c r="C30" s="1109" t="s">
        <v>197</v>
      </c>
      <c r="D30" s="1086"/>
      <c r="E30" s="1086"/>
      <c r="F30" s="1086"/>
      <c r="G30" s="1086"/>
      <c r="H30" s="1086"/>
      <c r="I30" s="1915" t="s">
        <v>792</v>
      </c>
      <c r="J30" s="1086"/>
      <c r="K30" s="1086"/>
      <c r="L30" s="1086"/>
      <c r="M30" s="1086"/>
      <c r="N30" s="1086"/>
      <c r="O30" s="1086"/>
      <c r="P30" s="1086"/>
      <c r="Q30" s="1087"/>
      <c r="Y30" s="1088"/>
      <c r="Z30" s="1079"/>
      <c r="AA30" s="1079"/>
      <c r="AB30" s="1079"/>
      <c r="AC30" s="1079"/>
      <c r="AD30" s="1079"/>
      <c r="AE30" s="1079"/>
      <c r="AF30" s="1080"/>
    </row>
    <row r="31" spans="2:39" ht="15.65" customHeight="1" x14ac:dyDescent="0.25">
      <c r="B31" s="1089"/>
      <c r="C31" s="1090"/>
      <c r="D31" s="1090"/>
      <c r="E31" s="1091" t="s">
        <v>198</v>
      </c>
      <c r="F31" s="1091" t="s">
        <v>199</v>
      </c>
      <c r="G31" s="1091" t="s">
        <v>200</v>
      </c>
      <c r="H31" s="1091" t="s">
        <v>184</v>
      </c>
      <c r="I31" s="1916"/>
      <c r="J31" s="1120" t="s">
        <v>201</v>
      </c>
      <c r="K31" s="1090"/>
      <c r="L31" s="1090"/>
      <c r="M31" s="1090"/>
      <c r="N31" s="1090"/>
      <c r="O31" s="1091" t="s">
        <v>82</v>
      </c>
      <c r="P31" s="1090"/>
      <c r="Q31" s="1094"/>
      <c r="Y31" s="1121" t="s">
        <v>202</v>
      </c>
      <c r="Z31" s="1122" t="s">
        <v>203</v>
      </c>
      <c r="AA31" s="1122" t="s">
        <v>204</v>
      </c>
      <c r="AB31" s="1122" t="s">
        <v>205</v>
      </c>
      <c r="AC31" s="1122" t="s">
        <v>206</v>
      </c>
      <c r="AD31" s="1122" t="s">
        <v>207</v>
      </c>
      <c r="AE31" s="1123" t="s">
        <v>208</v>
      </c>
      <c r="AF31" s="1080"/>
    </row>
    <row r="32" spans="2:39" ht="15.65" customHeight="1" x14ac:dyDescent="0.25">
      <c r="B32" s="1095"/>
      <c r="C32" s="1096"/>
      <c r="D32" s="1096"/>
      <c r="E32" s="1096"/>
      <c r="F32" s="1096"/>
      <c r="G32" s="1096"/>
      <c r="H32" s="1096"/>
      <c r="I32" s="1228"/>
      <c r="J32" s="1193"/>
      <c r="K32" s="1096"/>
      <c r="L32" s="1096"/>
      <c r="M32" s="1096"/>
      <c r="N32" s="1125"/>
      <c r="O32" s="1322" t="s">
        <v>257</v>
      </c>
      <c r="P32" s="1155"/>
      <c r="Q32" s="1099"/>
      <c r="Y32" s="1121" t="s">
        <v>210</v>
      </c>
      <c r="Z32" s="1122" t="s">
        <v>210</v>
      </c>
      <c r="AA32" s="1122" t="s">
        <v>210</v>
      </c>
      <c r="AB32" s="1122" t="s">
        <v>128</v>
      </c>
      <c r="AC32" s="1128" t="s">
        <v>211</v>
      </c>
      <c r="AD32" s="1122" t="s">
        <v>84</v>
      </c>
      <c r="AE32" s="1123" t="s">
        <v>212</v>
      </c>
      <c r="AF32" s="1080"/>
      <c r="AH32" s="1918" t="s">
        <v>189</v>
      </c>
      <c r="AI32" s="1919"/>
      <c r="AJ32" s="1919"/>
      <c r="AK32" s="1919"/>
      <c r="AL32" s="1919"/>
      <c r="AM32" s="1919"/>
    </row>
    <row r="33" spans="2:39" ht="15.65" customHeight="1" x14ac:dyDescent="0.25">
      <c r="B33" s="1095"/>
      <c r="C33" s="1113" t="s">
        <v>423</v>
      </c>
      <c r="D33" s="1096"/>
      <c r="E33" s="1052"/>
      <c r="F33" s="1055"/>
      <c r="G33" s="807"/>
      <c r="H33" s="498"/>
      <c r="I33" s="949"/>
      <c r="J33" s="798"/>
      <c r="K33" s="1129"/>
      <c r="L33" s="1098"/>
      <c r="M33" s="1098"/>
      <c r="N33" s="1130"/>
      <c r="O33" s="1131">
        <f>IF(AND(F33="",G33="",H33="",I33=""),0,IFERROR(AA33*AB33+AD33*'Key Values'!$C$149,'Hidden Lists and Summaries'!$C$158))</f>
        <v>0</v>
      </c>
      <c r="P33" s="1132" t="s">
        <v>90</v>
      </c>
      <c r="Q33" s="1099"/>
      <c r="Y33" s="1133" t="e">
        <f>IF(OR(($F33='Key Values'!$B$26),($F33='Key Values'!$B$27)),0,VLOOKUP(iq_location,TapWaterEmbodiedEmissions[#All],2,FALSE))</f>
        <v>#N/A</v>
      </c>
      <c r="Z33" s="1134" t="e">
        <f>VLOOKUP(F33,WaterEmbodiedEmissions[#All],2,FALSE)</f>
        <v>#N/A</v>
      </c>
      <c r="AA33" s="1134" t="e">
        <f>IF(I33&lt;&gt;"",I33,Y33+Z33)</f>
        <v>#N/A</v>
      </c>
      <c r="AB33" s="1135" t="e">
        <f>VLOOKUP(H33,Table13[#All], 2, FALSE)*G33</f>
        <v>#N/A</v>
      </c>
      <c r="AC33" s="1079" cm="1">
        <f t="array" ref="AC33">IF(OR(($F33='Key Values'!$B$26),($F33='Key Values'!$B$27)),PumpedWaterSupplyCosts[Pumping to Site (kWh/m3/km)],0)</f>
        <v>0</v>
      </c>
      <c r="AD33" s="1079" t="e">
        <f>AE33*AC33*J33</f>
        <v>#N/A</v>
      </c>
      <c r="AE33" s="1080" t="e">
        <f>G33*VLOOKUP(H33,Table13[#All], 3,FALSE)</f>
        <v>#N/A</v>
      </c>
      <c r="AF33" s="1080"/>
      <c r="AH33" s="1918"/>
      <c r="AI33" s="1919"/>
      <c r="AJ33" s="1919"/>
      <c r="AK33" s="1919"/>
      <c r="AL33" s="1919"/>
      <c r="AM33" s="1919"/>
    </row>
    <row r="34" spans="2:39" ht="15.65" customHeight="1" x14ac:dyDescent="0.25">
      <c r="B34" s="1095"/>
      <c r="C34" s="1113" t="s">
        <v>424</v>
      </c>
      <c r="D34" s="1096"/>
      <c r="E34" s="1053"/>
      <c r="F34" s="1056"/>
      <c r="G34" s="809"/>
      <c r="H34" s="799"/>
      <c r="I34" s="951"/>
      <c r="J34" s="798"/>
      <c r="K34" s="1129"/>
      <c r="L34" s="1098"/>
      <c r="M34" s="1098"/>
      <c r="N34" s="1130"/>
      <c r="O34" s="1131">
        <f>IF(AND(F34="",G34="",H34="",I34=""),0,IFERROR(AA34*AB34+AD34*'Key Values'!$C$149,'Hidden Lists and Summaries'!$C$158))</f>
        <v>0</v>
      </c>
      <c r="P34" s="1132" t="s">
        <v>90</v>
      </c>
      <c r="Q34" s="1099"/>
      <c r="Y34" s="1136" t="e">
        <f>IF(OR(($F34='Key Values'!$B$26),($F34='Key Values'!$B$27)),0,VLOOKUP(iq_location,TapWaterEmbodiedEmissions[#All],2,FALSE))</f>
        <v>#N/A</v>
      </c>
      <c r="Z34" s="1137" t="e">
        <f>VLOOKUP(F34,WaterEmbodiedEmissions[#All],2,FALSE)</f>
        <v>#N/A</v>
      </c>
      <c r="AA34" s="1137" t="e">
        <f>IF(I34&lt;&gt;"",I34,Y34+Z34)</f>
        <v>#N/A</v>
      </c>
      <c r="AB34" s="1138" t="e">
        <f>VLOOKUP(H34,Table13[#All], 2, FALSE)*G34</f>
        <v>#N/A</v>
      </c>
      <c r="AC34" s="1079" cm="1">
        <f t="array" ref="AC34">IF(OR(($F34='Key Values'!$B$26),($F34='Key Values'!$B$27)),PumpedWaterSupplyCosts[Pumping to Site (kWh/m3/km)],0)</f>
        <v>0</v>
      </c>
      <c r="AD34" s="1079" t="e">
        <f>AE34*AC34*J34</f>
        <v>#N/A</v>
      </c>
      <c r="AE34" s="1080" t="e">
        <f>G34*VLOOKUP(H34,Table13[#All], 3,FALSE)</f>
        <v>#N/A</v>
      </c>
      <c r="AF34" s="1080"/>
      <c r="AH34" s="1917" t="s">
        <v>191</v>
      </c>
      <c r="AI34" s="1917" t="s">
        <v>192</v>
      </c>
      <c r="AJ34" s="1917" t="s">
        <v>193</v>
      </c>
      <c r="AK34" s="1917" t="s">
        <v>194</v>
      </c>
      <c r="AL34" s="1917" t="s">
        <v>195</v>
      </c>
      <c r="AM34" s="1917" t="s">
        <v>196</v>
      </c>
    </row>
    <row r="35" spans="2:39" ht="15.65" customHeight="1" x14ac:dyDescent="0.25">
      <c r="B35" s="1095"/>
      <c r="C35" s="1113" t="s">
        <v>425</v>
      </c>
      <c r="D35" s="1096"/>
      <c r="E35" s="1054"/>
      <c r="F35" s="1057"/>
      <c r="G35" s="810"/>
      <c r="H35" s="810"/>
      <c r="I35" s="950"/>
      <c r="J35" s="798"/>
      <c r="K35" s="1129"/>
      <c r="L35" s="1098"/>
      <c r="M35" s="1098"/>
      <c r="N35" s="1130"/>
      <c r="O35" s="1131">
        <f>IF(AND(F35="",G35="",H35="",I35=""),0,IFERROR(AA35*AB35+AD35*'Key Values'!$C$149,'Hidden Lists and Summaries'!$C$158))</f>
        <v>0</v>
      </c>
      <c r="P35" s="1132" t="s">
        <v>90</v>
      </c>
      <c r="Q35" s="1099"/>
      <c r="Y35" s="1136" t="e">
        <f>IF(OR(($F35='Key Values'!$B$26),($F35='Key Values'!$B$27)),0,VLOOKUP(iq_location,TapWaterEmbodiedEmissions[#All],2,FALSE))</f>
        <v>#N/A</v>
      </c>
      <c r="Z35" s="1140" t="e">
        <f>VLOOKUP(F35,WaterEmbodiedEmissions[#All],2,FALSE)</f>
        <v>#N/A</v>
      </c>
      <c r="AA35" s="1137" t="e">
        <f>IF(I35&lt;&gt;"",I35,Y35+Z35)</f>
        <v>#N/A</v>
      </c>
      <c r="AB35" s="1141" t="e">
        <f>VLOOKUP(H35,Table13[#All], 2, FALSE)*G35</f>
        <v>#N/A</v>
      </c>
      <c r="AC35" s="1142" cm="1">
        <f t="array" ref="AC35">IF(OR(($F35='Key Values'!$B$26),($F35='Key Values'!$B$27)),PumpedWaterSupplyCosts[Pumping to Site (kWh/m3/km)],0)</f>
        <v>0</v>
      </c>
      <c r="AD35" s="1142" t="e">
        <f>AE35*AC35*J35</f>
        <v>#N/A</v>
      </c>
      <c r="AE35" s="1143" t="e">
        <f>G35*VLOOKUP(H35,Table13[#All], 3,FALSE)</f>
        <v>#N/A</v>
      </c>
      <c r="AF35" s="1080"/>
      <c r="AH35" s="1917"/>
      <c r="AI35" s="1917"/>
      <c r="AJ35" s="1917"/>
      <c r="AK35" s="1917"/>
      <c r="AL35" s="1917"/>
      <c r="AM35" s="1917"/>
    </row>
    <row r="36" spans="2:39" ht="15.65" customHeight="1" x14ac:dyDescent="0.25">
      <c r="B36" s="1105"/>
      <c r="C36" s="1106"/>
      <c r="D36" s="1106"/>
      <c r="E36" s="1106"/>
      <c r="F36" s="1106"/>
      <c r="G36" s="1106"/>
      <c r="H36" s="1115"/>
      <c r="I36" s="1115"/>
      <c r="J36" s="1106"/>
      <c r="K36" s="1106"/>
      <c r="L36" s="1106"/>
      <c r="M36" s="1106"/>
      <c r="N36" s="1144" t="s">
        <v>120</v>
      </c>
      <c r="O36" s="1145">
        <f>SUM(O33:O35)</f>
        <v>0</v>
      </c>
      <c r="P36" s="1146" t="s">
        <v>90</v>
      </c>
      <c r="Q36" s="1107"/>
      <c r="Y36" s="1147"/>
      <c r="Z36" s="1079"/>
      <c r="AA36" s="1148"/>
      <c r="AB36" s="1079"/>
      <c r="AC36" s="1079"/>
      <c r="AD36" s="1079"/>
      <c r="AE36" s="1148"/>
      <c r="AF36" s="1080"/>
      <c r="AH36" s="1147"/>
      <c r="AI36" s="1148">
        <f>O36</f>
        <v>0</v>
      </c>
      <c r="AJ36" s="1148"/>
      <c r="AK36" s="1148" t="str">
        <f>'Hidden Lists and Summaries'!$B$5</f>
        <v>Embodied (Upstream)</v>
      </c>
      <c r="AL36" s="1148"/>
      <c r="AM36" s="1149" t="s">
        <v>214</v>
      </c>
    </row>
    <row r="37" spans="2:39" ht="15.65" customHeight="1" x14ac:dyDescent="0.25">
      <c r="B37" s="1118"/>
      <c r="C37" s="1118"/>
      <c r="D37" s="1118"/>
      <c r="E37" s="1118"/>
      <c r="F37" s="1118"/>
      <c r="G37" s="1118"/>
      <c r="H37" s="1118"/>
      <c r="I37" s="1118"/>
      <c r="J37" s="1118"/>
      <c r="K37" s="1118"/>
      <c r="L37" s="1118"/>
      <c r="M37" s="1118"/>
      <c r="N37" s="1118"/>
      <c r="O37" s="1118"/>
      <c r="P37" s="1118"/>
      <c r="Q37" s="1118"/>
      <c r="Y37" s="1088"/>
      <c r="Z37" s="1079"/>
      <c r="AA37" s="1079"/>
      <c r="AB37" s="1079"/>
      <c r="AC37" s="1079"/>
      <c r="AD37" s="1079"/>
      <c r="AE37" s="1079"/>
      <c r="AF37" s="1080"/>
      <c r="AH37" s="1088"/>
      <c r="AI37" s="1079"/>
      <c r="AJ37" s="1079"/>
      <c r="AK37" s="1079"/>
      <c r="AL37" s="1079"/>
      <c r="AM37" s="1080"/>
    </row>
    <row r="38" spans="2:39" ht="15.65" customHeight="1" x14ac:dyDescent="0.25">
      <c r="B38" s="1081"/>
      <c r="C38" s="1082"/>
      <c r="D38" s="1082"/>
      <c r="E38" s="1082"/>
      <c r="F38" s="1150" t="s">
        <v>793</v>
      </c>
      <c r="G38" s="1082"/>
      <c r="H38" s="1082"/>
      <c r="I38" s="1082"/>
      <c r="J38" s="1082"/>
      <c r="K38" s="1082"/>
      <c r="L38" s="1082"/>
      <c r="M38" s="1082"/>
      <c r="N38" s="1082"/>
      <c r="O38" s="1082"/>
      <c r="P38" s="1082"/>
      <c r="Q38" s="1083"/>
      <c r="Y38" s="1088"/>
      <c r="Z38" s="1079"/>
      <c r="AA38" s="1079"/>
      <c r="AB38" s="1079"/>
      <c r="AC38" s="1079"/>
      <c r="AD38" s="1079"/>
      <c r="AE38" s="1079"/>
      <c r="AF38" s="1080"/>
      <c r="AH38" s="1088"/>
      <c r="AI38" s="1079"/>
      <c r="AJ38" s="1079"/>
      <c r="AK38" s="1079"/>
      <c r="AL38" s="1079"/>
      <c r="AM38" s="1080"/>
    </row>
    <row r="39" spans="2:39" ht="15.65" customHeight="1" x14ac:dyDescent="0.25">
      <c r="B39" s="1084"/>
      <c r="C39" s="1109" t="s">
        <v>217</v>
      </c>
      <c r="D39" s="1151"/>
      <c r="E39" s="1151"/>
      <c r="F39" s="1151"/>
      <c r="G39" s="1151"/>
      <c r="H39" s="1915" t="s">
        <v>794</v>
      </c>
      <c r="I39" s="1152"/>
      <c r="J39" s="1152"/>
      <c r="K39" s="1151"/>
      <c r="L39" s="1151"/>
      <c r="M39" s="1151"/>
      <c r="N39" s="1151"/>
      <c r="O39" s="1151"/>
      <c r="P39" s="1151"/>
      <c r="Q39" s="1087"/>
      <c r="Y39" s="1088"/>
      <c r="Z39" s="1079"/>
      <c r="AA39" s="1079"/>
      <c r="AB39" s="1079"/>
      <c r="AC39" s="1079"/>
      <c r="AD39" s="1079"/>
      <c r="AE39" s="1079"/>
      <c r="AF39" s="1080"/>
      <c r="AH39" s="1088"/>
      <c r="AI39" s="1079"/>
      <c r="AJ39" s="1079"/>
      <c r="AK39" s="1079"/>
      <c r="AL39" s="1079"/>
      <c r="AM39" s="1080"/>
    </row>
    <row r="40" spans="2:39" ht="15.65" customHeight="1" x14ac:dyDescent="0.25">
      <c r="B40" s="1089"/>
      <c r="C40" s="1090"/>
      <c r="D40" s="1090"/>
      <c r="E40" s="1091" t="s">
        <v>218</v>
      </c>
      <c r="F40" s="1091" t="s">
        <v>200</v>
      </c>
      <c r="G40" s="1091" t="s">
        <v>184</v>
      </c>
      <c r="H40" s="1916"/>
      <c r="I40" s="1111" t="s">
        <v>201</v>
      </c>
      <c r="J40" s="1092"/>
      <c r="K40" s="1090"/>
      <c r="L40" s="1090"/>
      <c r="M40" s="1090"/>
      <c r="N40" s="1090"/>
      <c r="O40" s="1091" t="s">
        <v>82</v>
      </c>
      <c r="P40" s="1090"/>
      <c r="Q40" s="1094"/>
      <c r="Y40" s="1153" t="s">
        <v>219</v>
      </c>
      <c r="Z40" s="1154" t="s">
        <v>206</v>
      </c>
      <c r="AA40" s="1122" t="s">
        <v>220</v>
      </c>
      <c r="AB40" s="1122" t="s">
        <v>221</v>
      </c>
      <c r="AC40" s="1122" t="s">
        <v>222</v>
      </c>
      <c r="AD40" s="1079"/>
      <c r="AE40" s="1079"/>
      <c r="AF40" s="1080"/>
      <c r="AH40" s="1088"/>
      <c r="AI40" s="1079"/>
      <c r="AJ40" s="1079"/>
      <c r="AK40" s="1079"/>
      <c r="AL40" s="1079"/>
      <c r="AM40" s="1080"/>
    </row>
    <row r="41" spans="2:39" ht="15.65" customHeight="1" x14ac:dyDescent="0.25">
      <c r="B41" s="1095"/>
      <c r="C41" s="1096"/>
      <c r="D41" s="1096"/>
      <c r="E41" s="1096"/>
      <c r="F41" s="1096"/>
      <c r="G41" s="1096"/>
      <c r="H41" s="1098"/>
      <c r="I41" s="1098"/>
      <c r="J41" s="1113"/>
      <c r="K41" s="1113"/>
      <c r="L41" s="1113"/>
      <c r="M41" s="1113"/>
      <c r="N41" s="1125"/>
      <c r="O41" s="1322" t="s">
        <v>257</v>
      </c>
      <c r="P41" s="1155"/>
      <c r="Q41" s="1099"/>
      <c r="Y41" s="1156" t="s">
        <v>223</v>
      </c>
      <c r="Z41" s="1157" t="s">
        <v>211</v>
      </c>
      <c r="AA41" s="1122" t="s">
        <v>84</v>
      </c>
      <c r="AB41" s="1462"/>
      <c r="AC41" s="1122" t="s">
        <v>224</v>
      </c>
      <c r="AD41" s="1079"/>
      <c r="AE41" s="1079"/>
      <c r="AF41" s="1080"/>
      <c r="AH41" s="1088"/>
      <c r="AI41" s="1079"/>
      <c r="AJ41" s="1079"/>
      <c r="AK41" s="1079"/>
      <c r="AL41" s="1079"/>
      <c r="AM41" s="1080"/>
    </row>
    <row r="42" spans="2:39" ht="15.65" customHeight="1" x14ac:dyDescent="0.25">
      <c r="B42" s="1095"/>
      <c r="C42" s="1113" t="s">
        <v>502</v>
      </c>
      <c r="D42" s="1096"/>
      <c r="E42" s="353"/>
      <c r="F42" s="354"/>
      <c r="G42" s="503"/>
      <c r="H42" s="1317"/>
      <c r="I42" s="999"/>
      <c r="J42" s="1158"/>
      <c r="K42" s="1113"/>
      <c r="L42" s="1113"/>
      <c r="M42" s="1113"/>
      <c r="N42" s="1130"/>
      <c r="O42" s="1131">
        <f>IF(AND(F42="",G42="",I42=""),0,IFERROR(IF(H42&lt;&gt;"",AC42*AB42,AA42*'Key Values'!$C$149),'Hidden Lists and Summaries'!$C$158))</f>
        <v>0</v>
      </c>
      <c r="P42" s="1132" t="s">
        <v>90</v>
      </c>
      <c r="Q42" s="1099"/>
      <c r="Y42" s="1463">
        <f>'Key Values'!$C$31</f>
        <v>9.2999999999999999E-2</v>
      </c>
      <c r="Z42" s="1464">
        <f>'Key Values'!$D$31</f>
        <v>3.6700000000000003E-2</v>
      </c>
      <c r="AA42" s="1159" t="e">
        <f>AB42*Y42+AB42*I42*Z42</f>
        <v>#N/A</v>
      </c>
      <c r="AB42" s="1160" t="e">
        <f>VLOOKUP(G42,Table13[#All], 3, FALSE)*F42</f>
        <v>#N/A</v>
      </c>
      <c r="AC42" s="1079">
        <f>H42</f>
        <v>0</v>
      </c>
      <c r="AD42" s="1088"/>
      <c r="AE42" s="1079"/>
      <c r="AF42" s="1080"/>
      <c r="AH42" s="1088"/>
      <c r="AI42" s="1079"/>
      <c r="AJ42" s="1079"/>
      <c r="AK42" s="1079"/>
      <c r="AL42" s="1079"/>
      <c r="AM42" s="1080"/>
    </row>
    <row r="43" spans="2:39" ht="15.65" customHeight="1" x14ac:dyDescent="0.25">
      <c r="B43" s="1105"/>
      <c r="C43" s="1106"/>
      <c r="D43" s="1106"/>
      <c r="E43" s="1106"/>
      <c r="F43" s="1106"/>
      <c r="G43" s="1106"/>
      <c r="H43" s="1161"/>
      <c r="I43" s="1115"/>
      <c r="J43" s="1161"/>
      <c r="K43" s="1161"/>
      <c r="L43" s="1161"/>
      <c r="M43" s="1161"/>
      <c r="N43" s="1144" t="s">
        <v>120</v>
      </c>
      <c r="O43" s="1145">
        <f>SUM(O42)</f>
        <v>0</v>
      </c>
      <c r="P43" s="1146" t="s">
        <v>90</v>
      </c>
      <c r="Q43" s="1107"/>
      <c r="Y43" s="1088"/>
      <c r="Z43" s="1079"/>
      <c r="AA43" s="1079"/>
      <c r="AB43" s="1079"/>
      <c r="AC43" s="1148"/>
      <c r="AD43" s="1079"/>
      <c r="AE43" s="1079"/>
      <c r="AF43" s="1080"/>
      <c r="AH43" s="1088"/>
      <c r="AI43" s="1079">
        <f>O43</f>
        <v>0</v>
      </c>
      <c r="AJ43" s="1079"/>
      <c r="AK43" s="1079" t="str">
        <f>'Hidden Lists and Summaries'!$B$5</f>
        <v>Embodied (Upstream)</v>
      </c>
      <c r="AL43" s="1079"/>
      <c r="AM43" s="1080" t="s">
        <v>214</v>
      </c>
    </row>
    <row r="44" spans="2:39" ht="15.65" customHeight="1" x14ac:dyDescent="0.25">
      <c r="B44" s="1118"/>
      <c r="C44" s="1118"/>
      <c r="D44" s="1118"/>
      <c r="E44" s="1118"/>
      <c r="F44" s="1118"/>
      <c r="G44" s="1118"/>
      <c r="H44" s="1118"/>
      <c r="I44" s="1118"/>
      <c r="J44" s="1118"/>
      <c r="K44" s="1118"/>
      <c r="L44" s="1118"/>
      <c r="M44" s="1118"/>
      <c r="N44" s="1118"/>
      <c r="O44" s="1118"/>
      <c r="P44" s="1118"/>
      <c r="Q44" s="1118"/>
      <c r="Y44" s="1088"/>
      <c r="Z44" s="1079"/>
      <c r="AA44" s="1079"/>
      <c r="AB44" s="1079"/>
      <c r="AC44" s="1079"/>
      <c r="AD44" s="1079"/>
      <c r="AE44" s="1079"/>
      <c r="AF44" s="1080"/>
      <c r="AH44" s="1088"/>
      <c r="AI44" s="1079"/>
      <c r="AJ44" s="1079"/>
      <c r="AK44" s="1079"/>
      <c r="AL44" s="1079"/>
      <c r="AM44" s="1080"/>
    </row>
    <row r="45" spans="2:39" ht="15.65" customHeight="1" x14ac:dyDescent="0.25">
      <c r="B45" s="1081"/>
      <c r="C45" s="1082"/>
      <c r="D45" s="1082"/>
      <c r="E45" s="1082"/>
      <c r="F45" s="1082"/>
      <c r="G45" s="1082"/>
      <c r="H45" s="1082"/>
      <c r="I45" s="1082"/>
      <c r="J45" s="1082"/>
      <c r="K45" s="1082"/>
      <c r="L45" s="1082"/>
      <c r="M45" s="1082"/>
      <c r="N45" s="1082"/>
      <c r="O45" s="1082"/>
      <c r="P45" s="1082"/>
      <c r="Q45" s="1083"/>
      <c r="Y45" s="1088"/>
      <c r="Z45" s="1079"/>
      <c r="AA45" s="1079"/>
      <c r="AB45" s="1079"/>
      <c r="AC45" s="1079"/>
      <c r="AD45" s="1079"/>
      <c r="AE45" s="1079"/>
      <c r="AF45" s="1080"/>
      <c r="AH45" s="1088"/>
      <c r="AI45" s="1079"/>
      <c r="AJ45" s="1079"/>
      <c r="AK45" s="1079"/>
      <c r="AL45" s="1079"/>
      <c r="AM45" s="1080"/>
    </row>
    <row r="46" spans="2:39" ht="15" customHeight="1" x14ac:dyDescent="0.25">
      <c r="B46" s="1084"/>
      <c r="C46" s="1109" t="s">
        <v>227</v>
      </c>
      <c r="D46" s="1086"/>
      <c r="E46" s="1086"/>
      <c r="F46" s="1086"/>
      <c r="G46" s="1086"/>
      <c r="H46" s="1086"/>
      <c r="I46" s="1086"/>
      <c r="J46" s="1086"/>
      <c r="K46" s="1086"/>
      <c r="L46" s="1086"/>
      <c r="M46" s="1086"/>
      <c r="N46" s="1086"/>
      <c r="O46" s="1086"/>
      <c r="P46" s="1086"/>
      <c r="Q46" s="1087"/>
      <c r="Y46" s="1088"/>
      <c r="Z46" s="1079"/>
      <c r="AA46" s="1079"/>
      <c r="AB46" s="1079"/>
      <c r="AC46" s="1079"/>
      <c r="AD46" s="1079"/>
      <c r="AE46" s="1079"/>
      <c r="AF46" s="1080"/>
      <c r="AH46" s="1088"/>
      <c r="AI46" s="1079"/>
      <c r="AJ46" s="1079"/>
      <c r="AK46" s="1079"/>
      <c r="AL46" s="1079"/>
      <c r="AM46" s="1080"/>
    </row>
    <row r="47" spans="2:39" ht="15.65" customHeight="1" x14ac:dyDescent="0.25">
      <c r="B47" s="1089"/>
      <c r="C47" s="1090"/>
      <c r="D47" s="1090"/>
      <c r="E47" s="1091" t="s">
        <v>80</v>
      </c>
      <c r="F47" s="1091" t="s">
        <v>81</v>
      </c>
      <c r="G47" s="1092"/>
      <c r="H47" s="1092"/>
      <c r="I47" s="1092"/>
      <c r="J47" s="1093"/>
      <c r="K47" s="1090"/>
      <c r="L47" s="1090"/>
      <c r="M47" s="1090"/>
      <c r="N47" s="1090"/>
      <c r="O47" s="1091" t="s">
        <v>82</v>
      </c>
      <c r="P47" s="1090"/>
      <c r="Q47" s="1094"/>
      <c r="Y47" s="1153" t="s">
        <v>228</v>
      </c>
      <c r="Z47" s="1153" t="s">
        <v>229</v>
      </c>
      <c r="AA47" s="1154" t="s">
        <v>230</v>
      </c>
      <c r="AB47" s="1154" t="s">
        <v>231</v>
      </c>
      <c r="AC47" s="1154" t="s">
        <v>232</v>
      </c>
      <c r="AD47" s="1168" t="s">
        <v>233</v>
      </c>
      <c r="AE47" s="1169" t="s">
        <v>234</v>
      </c>
      <c r="AF47" s="1080"/>
      <c r="AH47" s="1088"/>
      <c r="AI47" s="1079"/>
      <c r="AJ47" s="1079"/>
      <c r="AK47" s="1079"/>
      <c r="AL47" s="1079"/>
      <c r="AM47" s="1080"/>
    </row>
    <row r="48" spans="2:39" ht="15.65" customHeight="1" x14ac:dyDescent="0.25">
      <c r="B48" s="1170"/>
      <c r="C48" s="1171"/>
      <c r="D48" s="1171"/>
      <c r="E48" s="1172"/>
      <c r="F48" s="1172"/>
      <c r="G48" s="1173"/>
      <c r="H48" s="1173"/>
      <c r="I48" s="1173"/>
      <c r="J48" s="1174"/>
      <c r="K48" s="1171"/>
      <c r="L48" s="1171"/>
      <c r="M48" s="1171"/>
      <c r="N48" s="1171"/>
      <c r="O48" s="1172"/>
      <c r="P48" s="1171"/>
      <c r="Q48" s="1175"/>
      <c r="Y48" s="1156"/>
      <c r="Z48" s="1156" t="s">
        <v>84</v>
      </c>
      <c r="AA48" s="1154" t="s">
        <v>84</v>
      </c>
      <c r="AB48" s="1157"/>
      <c r="AC48" s="1157"/>
      <c r="AD48" s="1168"/>
      <c r="AE48" s="1169"/>
      <c r="AF48" s="1080"/>
      <c r="AH48" s="1088"/>
      <c r="AI48" s="1079"/>
      <c r="AJ48" s="1079"/>
      <c r="AK48" s="1079"/>
      <c r="AL48" s="1079"/>
      <c r="AM48" s="1080"/>
    </row>
    <row r="49" spans="1:39" ht="15.65" customHeight="1" x14ac:dyDescent="0.25">
      <c r="B49" s="1095"/>
      <c r="C49" s="1189" t="s">
        <v>235</v>
      </c>
      <c r="D49" s="1096"/>
      <c r="E49" s="552"/>
      <c r="F49" s="906" t="s">
        <v>86</v>
      </c>
      <c r="G49" s="75"/>
      <c r="H49" s="1098"/>
      <c r="I49" s="1098"/>
      <c r="J49" s="1096"/>
      <c r="K49" s="1096"/>
      <c r="L49" s="1096"/>
      <c r="M49" s="1096"/>
      <c r="N49" s="1096"/>
      <c r="O49" s="1096"/>
      <c r="P49" s="1096"/>
      <c r="Q49" s="1099"/>
      <c r="Y49" s="554" t="s">
        <v>120</v>
      </c>
      <c r="Z49" s="104">
        <f>E49*VLOOKUP(F49,EnergyConversionTable[],3)</f>
        <v>0</v>
      </c>
      <c r="AA49" s="104"/>
      <c r="AB49" s="278"/>
      <c r="AC49" s="1147" t="s">
        <v>236</v>
      </c>
      <c r="AD49" s="1179" t="str">
        <f>overall_locationBasedImportEmissions</f>
        <v>Error -  Review inputs</v>
      </c>
      <c r="AE49" s="1149">
        <f>AB52</f>
        <v>0</v>
      </c>
      <c r="AF49" s="1080"/>
      <c r="AH49" s="1088"/>
      <c r="AI49" s="1079"/>
      <c r="AJ49" s="1079"/>
      <c r="AK49" s="1079"/>
      <c r="AL49" s="1079"/>
      <c r="AM49" s="1080"/>
    </row>
    <row r="50" spans="1:39" x14ac:dyDescent="0.25">
      <c r="B50" s="1095"/>
      <c r="C50" s="1180" t="s">
        <v>237</v>
      </c>
      <c r="D50" s="1096"/>
      <c r="E50" s="548"/>
      <c r="F50" s="907" t="s">
        <v>86</v>
      </c>
      <c r="G50" s="75" t="str">
        <f>IF('Electricity Usage'!$H$71&gt;1,'Hidden Lists and Summaries'!$D$160,"")</f>
        <v/>
      </c>
      <c r="H50" s="1098"/>
      <c r="I50" s="1098"/>
      <c r="J50" s="1096"/>
      <c r="K50" s="1096"/>
      <c r="L50" s="1096"/>
      <c r="M50" s="1096"/>
      <c r="N50" s="1182" t="s">
        <v>236</v>
      </c>
      <c r="O50" s="1183" t="str">
        <f>IFERROR(AD49*AE49,'Hidden Lists and Summaries'!$C$158)</f>
        <v>Error -  Review inputs</v>
      </c>
      <c r="P50" s="1184" t="s">
        <v>90</v>
      </c>
      <c r="Q50" s="1099"/>
      <c r="Y50" s="555" t="s">
        <v>238</v>
      </c>
      <c r="Z50" s="91">
        <f>E50*VLOOKUP(F50,EnergyConversionTable[],3)</f>
        <v>0</v>
      </c>
      <c r="AA50" s="91"/>
      <c r="AB50" s="218"/>
      <c r="AC50" s="1088" t="s">
        <v>239</v>
      </c>
      <c r="AD50" s="1186">
        <f>overall_ImportEmissions</f>
        <v>0</v>
      </c>
      <c r="AE50" s="1080">
        <f>AB52</f>
        <v>0</v>
      </c>
      <c r="AF50" s="1080"/>
      <c r="AH50" s="1088"/>
      <c r="AI50" s="1102">
        <f>O51</f>
        <v>0</v>
      </c>
      <c r="AJ50" s="1102"/>
      <c r="AK50" s="1102" t="s">
        <v>240</v>
      </c>
      <c r="AL50" s="1079"/>
      <c r="AM50" s="1080"/>
    </row>
    <row r="51" spans="1:39" ht="15.65" customHeight="1" x14ac:dyDescent="0.25">
      <c r="B51" s="1095"/>
      <c r="C51" s="1180"/>
      <c r="D51" s="1187"/>
      <c r="E51" s="1173"/>
      <c r="F51" s="75"/>
      <c r="G51" s="75"/>
      <c r="H51" s="1098"/>
      <c r="I51" s="1098"/>
      <c r="J51" s="1098"/>
      <c r="K51" s="1098"/>
      <c r="L51" s="1096"/>
      <c r="M51" s="1096"/>
      <c r="N51" s="1130" t="s">
        <v>239</v>
      </c>
      <c r="O51" s="1131">
        <f>IFERROR(AD50*AE50,'Hidden Lists and Summaries'!$C$158)</f>
        <v>0</v>
      </c>
      <c r="P51" s="1132" t="s">
        <v>90</v>
      </c>
      <c r="Q51" s="1099"/>
      <c r="Y51" s="555" t="s">
        <v>241</v>
      </c>
      <c r="Z51" s="91">
        <f>E50*VLOOKUP(F50,EnergyConversionTable[],3)</f>
        <v>0</v>
      </c>
      <c r="AA51" s="91">
        <f>overall_onsiteElecGenRenewables+overall_verifiedRenewableElectricityImported</f>
        <v>0</v>
      </c>
      <c r="AB51" s="218">
        <f>IF(AA51=0,0,Z51/AA51)</f>
        <v>0</v>
      </c>
      <c r="AC51" s="1088" t="s">
        <v>242</v>
      </c>
      <c r="AD51" s="1186">
        <f>total_embodiedEmissionsCombustionBasedElectricity</f>
        <v>0</v>
      </c>
      <c r="AE51" s="1080">
        <f>AB53</f>
        <v>0</v>
      </c>
      <c r="AF51" s="1080"/>
      <c r="AH51" s="1088"/>
      <c r="AI51" s="1102">
        <f>O52</f>
        <v>0</v>
      </c>
      <c r="AJ51" s="1102"/>
      <c r="AK51" s="1102" t="str">
        <f>'Hidden Lists and Summaries'!$B$5</f>
        <v>Embodied (Upstream)</v>
      </c>
      <c r="AL51" s="1079"/>
      <c r="AM51" s="1080" t="s">
        <v>243</v>
      </c>
    </row>
    <row r="52" spans="1:39" ht="15.65" customHeight="1" x14ac:dyDescent="0.25">
      <c r="B52" s="1095"/>
      <c r="C52" s="1176" t="s">
        <v>244</v>
      </c>
      <c r="D52" s="1188"/>
      <c r="E52" s="552"/>
      <c r="F52" s="906" t="s">
        <v>86</v>
      </c>
      <c r="G52" s="75" t="str">
        <f>IF('Electricity Usage'!$E$71&gt;1,'Hidden Lists and Summaries'!$D$157,"")</f>
        <v/>
      </c>
      <c r="H52" s="1098"/>
      <c r="I52" s="1098"/>
      <c r="J52" s="1096"/>
      <c r="K52" s="1096"/>
      <c r="L52" s="1096"/>
      <c r="M52" s="1096"/>
      <c r="N52" s="1130" t="s">
        <v>242</v>
      </c>
      <c r="O52" s="1131">
        <f>IFERROR(AD51*AE51,'Hidden Lists and Summaries'!$C$158)</f>
        <v>0</v>
      </c>
      <c r="P52" s="1132" t="s">
        <v>90</v>
      </c>
      <c r="Q52" s="1099"/>
      <c r="Y52" s="555" t="s">
        <v>246</v>
      </c>
      <c r="Z52" s="91">
        <f>E52*VLOOKUP(F52,EnergyConversionTable[],3)</f>
        <v>0</v>
      </c>
      <c r="AA52" s="91">
        <f>overall_totalImportedElectricity</f>
        <v>0</v>
      </c>
      <c r="AB52" s="218">
        <f>IF(AA52=0,0,Z52/AA52)</f>
        <v>0</v>
      </c>
      <c r="AC52" s="1197" t="s">
        <v>247</v>
      </c>
      <c r="AD52" s="1400">
        <f>total_emissionsCombustionBasedElectricity</f>
        <v>0</v>
      </c>
      <c r="AE52" s="1143">
        <f>AB53</f>
        <v>0</v>
      </c>
      <c r="AF52" s="1080"/>
      <c r="AH52" s="1088"/>
      <c r="AI52" s="1102">
        <f>O53</f>
        <v>0</v>
      </c>
      <c r="AJ52" s="1102"/>
      <c r="AK52" s="1102" t="s">
        <v>248</v>
      </c>
      <c r="AL52" s="1079"/>
      <c r="AM52" s="1080"/>
    </row>
    <row r="53" spans="1:39" ht="15" customHeight="1" x14ac:dyDescent="0.25">
      <c r="B53" s="1095"/>
      <c r="C53" s="1176" t="s">
        <v>249</v>
      </c>
      <c r="D53" s="1096"/>
      <c r="E53" s="548"/>
      <c r="F53" s="907" t="s">
        <v>86</v>
      </c>
      <c r="G53" s="75" t="str">
        <f>IF('Electricity Usage'!$F$71&gt;1,'Hidden Lists and Summaries'!$D$158,"")</f>
        <v/>
      </c>
      <c r="H53" s="1098"/>
      <c r="I53" s="1098"/>
      <c r="J53" s="1096"/>
      <c r="K53" s="1096"/>
      <c r="L53" s="1096"/>
      <c r="M53" s="1096"/>
      <c r="N53" s="1130" t="s">
        <v>247</v>
      </c>
      <c r="O53" s="1131">
        <f>IFERROR(AD52*AE52,'Hidden Lists and Summaries'!$C$158)</f>
        <v>0</v>
      </c>
      <c r="P53" s="1132" t="s">
        <v>90</v>
      </c>
      <c r="Q53" s="1099"/>
      <c r="Y53" s="556" t="s">
        <v>251</v>
      </c>
      <c r="Z53" s="185">
        <f>E53*VLOOKUP(F53,EnergyConversionTable[],3)</f>
        <v>0</v>
      </c>
      <c r="AA53" s="185">
        <f>overall_totalOnsiteCombustionElecGen</f>
        <v>0</v>
      </c>
      <c r="AB53" s="225">
        <f>IF(AA53=0,0,Z53/AA53)</f>
        <v>0</v>
      </c>
      <c r="AC53" s="1079"/>
      <c r="AD53" s="1079"/>
      <c r="AE53" s="1179"/>
      <c r="AF53" s="1080"/>
      <c r="AG53" s="1079"/>
      <c r="AH53" s="1088"/>
      <c r="AI53" s="1102"/>
      <c r="AJ53" s="1102"/>
      <c r="AK53" s="1102"/>
      <c r="AL53" s="1079"/>
      <c r="AM53" s="1080"/>
    </row>
    <row r="54" spans="1:39" ht="15.65" customHeight="1" x14ac:dyDescent="0.25">
      <c r="B54" s="1105"/>
      <c r="C54" s="1106"/>
      <c r="D54" s="1106"/>
      <c r="E54" s="1106"/>
      <c r="F54" s="1106"/>
      <c r="G54" s="1106"/>
      <c r="H54" s="1115"/>
      <c r="I54" s="1115"/>
      <c r="J54" s="1106"/>
      <c r="K54" s="1106"/>
      <c r="L54" s="1106"/>
      <c r="M54" s="1106"/>
      <c r="N54" s="1144" t="s">
        <v>120</v>
      </c>
      <c r="O54" s="1145">
        <f>SUM(O50:O53)</f>
        <v>0</v>
      </c>
      <c r="P54" s="1146" t="s">
        <v>90</v>
      </c>
      <c r="Q54" s="1107"/>
      <c r="Y54" s="1088"/>
      <c r="Z54" s="1079"/>
      <c r="AA54" s="1079"/>
      <c r="AB54" s="1079"/>
      <c r="AC54" s="1079"/>
      <c r="AD54" s="1079"/>
      <c r="AE54" s="1079"/>
      <c r="AF54" s="1080"/>
      <c r="AH54" s="1088"/>
      <c r="AI54" s="1079"/>
      <c r="AJ54" s="1079"/>
      <c r="AK54" s="1079"/>
      <c r="AL54" s="1079"/>
      <c r="AM54" s="1080"/>
    </row>
    <row r="55" spans="1:39" ht="15.65" customHeight="1" x14ac:dyDescent="0.25">
      <c r="A55" s="1164"/>
      <c r="B55" s="1108"/>
      <c r="C55" s="1108"/>
      <c r="D55" s="1108"/>
      <c r="E55" s="1108"/>
      <c r="F55" s="1108"/>
      <c r="G55" s="1108"/>
      <c r="H55" s="1102"/>
      <c r="I55" s="1102"/>
      <c r="J55" s="1108"/>
      <c r="K55" s="1108"/>
      <c r="L55" s="1108"/>
      <c r="M55" s="1108"/>
      <c r="N55" s="1164"/>
      <c r="O55" s="1164"/>
      <c r="P55" s="1102"/>
      <c r="Q55" s="1108"/>
      <c r="Y55" s="1088"/>
      <c r="Z55" s="1079"/>
      <c r="AA55" s="1079"/>
      <c r="AB55" s="1079"/>
      <c r="AC55" s="1079"/>
      <c r="AD55" s="1079"/>
      <c r="AE55" s="1079"/>
      <c r="AF55" s="1080"/>
      <c r="AH55" s="1088"/>
      <c r="AI55" s="1079"/>
      <c r="AJ55" s="1079"/>
      <c r="AK55" s="1079"/>
      <c r="AL55" s="1079"/>
      <c r="AM55" s="1080"/>
    </row>
    <row r="56" spans="1:39" ht="15.65" customHeight="1" x14ac:dyDescent="0.25">
      <c r="A56" s="1164"/>
      <c r="B56" s="1081"/>
      <c r="C56" s="1082"/>
      <c r="D56" s="1082"/>
      <c r="E56" s="1082"/>
      <c r="F56" s="1082"/>
      <c r="G56" s="1082"/>
      <c r="H56" s="1082"/>
      <c r="I56" s="1082"/>
      <c r="J56" s="1082"/>
      <c r="K56" s="1082"/>
      <c r="L56" s="1082"/>
      <c r="M56" s="1082"/>
      <c r="N56" s="1082"/>
      <c r="O56" s="1082"/>
      <c r="P56" s="1082"/>
      <c r="Q56" s="1083"/>
      <c r="Y56" s="1088"/>
      <c r="Z56" s="1079"/>
      <c r="AA56" s="1079"/>
      <c r="AB56" s="1079"/>
      <c r="AC56" s="1079"/>
      <c r="AD56" s="1079"/>
      <c r="AE56" s="1079"/>
      <c r="AF56" s="1080"/>
      <c r="AH56" s="1088"/>
      <c r="AI56" s="1079"/>
      <c r="AJ56" s="1079"/>
      <c r="AK56" s="1079"/>
      <c r="AL56" s="1079"/>
      <c r="AM56" s="1080"/>
    </row>
    <row r="57" spans="1:39" ht="15.65" customHeight="1" x14ac:dyDescent="0.25">
      <c r="A57" s="1164"/>
      <c r="B57" s="1084"/>
      <c r="C57" s="1109" t="s">
        <v>252</v>
      </c>
      <c r="D57" s="1086"/>
      <c r="E57" s="1086"/>
      <c r="F57" s="1086"/>
      <c r="G57" s="1086"/>
      <c r="H57" s="1086"/>
      <c r="I57" s="1086"/>
      <c r="J57" s="1086"/>
      <c r="K57" s="1086"/>
      <c r="L57" s="1086"/>
      <c r="M57" s="1086"/>
      <c r="N57" s="1086"/>
      <c r="O57" s="1086"/>
      <c r="P57" s="1086"/>
      <c r="Q57" s="1087"/>
      <c r="Y57" s="1191"/>
      <c r="Z57" s="1079"/>
      <c r="AA57" s="1079"/>
      <c r="AB57" s="1079"/>
      <c r="AC57" s="1079"/>
      <c r="AD57" s="1079"/>
      <c r="AE57" s="1079"/>
      <c r="AF57" s="1080"/>
      <c r="AH57" s="1088"/>
      <c r="AI57" s="1079"/>
      <c r="AJ57" s="1079"/>
      <c r="AK57" s="1079"/>
      <c r="AL57" s="1079"/>
      <c r="AM57" s="1080"/>
    </row>
    <row r="58" spans="1:39" ht="15.65" customHeight="1" x14ac:dyDescent="0.25">
      <c r="A58" s="1164"/>
      <c r="B58" s="1089"/>
      <c r="C58" s="1090"/>
      <c r="D58" s="1090"/>
      <c r="E58" s="1091" t="s">
        <v>253</v>
      </c>
      <c r="F58" s="1091" t="s">
        <v>81</v>
      </c>
      <c r="G58" s="1092"/>
      <c r="H58" s="1092"/>
      <c r="I58" s="1092"/>
      <c r="J58" s="1093"/>
      <c r="K58" s="1090"/>
      <c r="L58" s="1090"/>
      <c r="M58" s="1090"/>
      <c r="N58" s="1090"/>
      <c r="O58" s="1091" t="s">
        <v>82</v>
      </c>
      <c r="P58" s="1090"/>
      <c r="Q58" s="1094"/>
      <c r="Y58" s="1153" t="s">
        <v>254</v>
      </c>
      <c r="Z58" s="1153" t="s">
        <v>503</v>
      </c>
      <c r="AA58" s="1122" t="s">
        <v>256</v>
      </c>
      <c r="AB58" s="1079"/>
      <c r="AC58" s="1079"/>
      <c r="AD58" s="1079"/>
      <c r="AE58" s="1079"/>
      <c r="AF58" s="1080"/>
      <c r="AH58" s="1088"/>
      <c r="AI58" s="1079"/>
      <c r="AJ58" s="1079"/>
      <c r="AK58" s="1079"/>
      <c r="AL58" s="1079"/>
      <c r="AM58" s="1080"/>
    </row>
    <row r="59" spans="1:39" ht="15.65" customHeight="1" x14ac:dyDescent="0.25">
      <c r="B59" s="1192"/>
      <c r="C59" s="1193"/>
      <c r="D59" s="1193"/>
      <c r="E59" s="1193"/>
      <c r="F59" s="1193"/>
      <c r="G59" s="1193"/>
      <c r="H59" s="1124"/>
      <c r="I59" s="1124"/>
      <c r="J59" s="1193"/>
      <c r="K59" s="1193"/>
      <c r="L59" s="1193"/>
      <c r="M59" s="1193"/>
      <c r="N59" s="1194"/>
      <c r="O59" s="1194"/>
      <c r="P59" s="1194"/>
      <c r="Q59" s="1195"/>
      <c r="Y59" s="1156" t="s">
        <v>128</v>
      </c>
      <c r="Z59" s="1156"/>
      <c r="AA59" s="1122" t="s">
        <v>116</v>
      </c>
      <c r="AB59" s="1079"/>
      <c r="AC59" s="1079"/>
      <c r="AD59" s="1079"/>
      <c r="AE59" s="1079"/>
      <c r="AF59" s="1080"/>
      <c r="AH59" s="1088"/>
      <c r="AI59" s="1079"/>
      <c r="AJ59" s="1079"/>
      <c r="AK59" s="1079"/>
      <c r="AL59" s="1079"/>
      <c r="AM59" s="1080"/>
    </row>
    <row r="60" spans="1:39" ht="15.65" customHeight="1" x14ac:dyDescent="0.25">
      <c r="B60" s="1095"/>
      <c r="C60" s="1187" t="s">
        <v>579</v>
      </c>
      <c r="D60" s="1187"/>
      <c r="E60" s="549"/>
      <c r="F60" s="1067" t="s">
        <v>90</v>
      </c>
      <c r="G60" s="1532" t="str">
        <f>IF(IFERROR(OR('Electricity Usage'!$G$71&gt;1,E60*VLOOKUP(F60,massConv[],3,FALSE)&gt;overall_CHPSteamGenerated),FALSE),'Hidden Lists and Summaries'!$D$159,"")</f>
        <v/>
      </c>
      <c r="H60" s="1129"/>
      <c r="I60" s="1129"/>
      <c r="J60" s="1101"/>
      <c r="K60" s="1101"/>
      <c r="L60" s="1101"/>
      <c r="M60" s="1101"/>
      <c r="N60" s="1182" t="s">
        <v>257</v>
      </c>
      <c r="O60" s="1183" t="str">
        <f>IFERROR($Z$60*AA60,'Hidden Lists and Summaries'!$C$158)</f>
        <v>Error -  Review inputs</v>
      </c>
      <c r="P60" s="1184" t="s">
        <v>90</v>
      </c>
      <c r="Q60" s="1099"/>
      <c r="Y60" s="1147">
        <f>IFERROR(E60*VLOOKUP(F60,massConv[],3,FALSE),0)</f>
        <v>0</v>
      </c>
      <c r="Z60" s="1148" t="e">
        <f>IF(overall_CHPSteamGenerated=0,0,Y60/overall_CHPSteamGenerated)</f>
        <v>#N/A</v>
      </c>
      <c r="AA60" s="1149">
        <f>overall_embodiedCHPSteam</f>
        <v>0</v>
      </c>
      <c r="AB60" s="1196" t="s">
        <v>257</v>
      </c>
      <c r="AC60" s="1079"/>
      <c r="AD60"/>
      <c r="AE60" s="1079"/>
      <c r="AF60" s="1080"/>
      <c r="AH60" s="1088"/>
      <c r="AI60" s="1079" t="str">
        <f>O60</f>
        <v>Error -  Review inputs</v>
      </c>
      <c r="AJ60" s="1079"/>
      <c r="AK60" s="1102" t="str">
        <f>'Hidden Lists and Summaries'!$B$5</f>
        <v>Embodied (Upstream)</v>
      </c>
      <c r="AL60" s="1079"/>
      <c r="AM60" s="1080" t="s">
        <v>243</v>
      </c>
    </row>
    <row r="61" spans="1:39" ht="15.65" customHeight="1" x14ac:dyDescent="0.25">
      <c r="B61" s="1095"/>
      <c r="C61" s="1101"/>
      <c r="D61" s="1101"/>
      <c r="E61" s="1101"/>
      <c r="F61" s="1101"/>
      <c r="G61" s="1101"/>
      <c r="H61" s="1129"/>
      <c r="I61" s="1129"/>
      <c r="J61" s="1101"/>
      <c r="K61" s="1101"/>
      <c r="L61" s="1101"/>
      <c r="M61" s="1101"/>
      <c r="N61" s="1130" t="s">
        <v>259</v>
      </c>
      <c r="O61" s="1131" t="str">
        <f>IFERROR($Z$60*AA61,'Hidden Lists and Summaries'!$C$158)</f>
        <v>Error -  Review inputs</v>
      </c>
      <c r="P61" s="1132" t="s">
        <v>90</v>
      </c>
      <c r="Q61" s="1099"/>
      <c r="Y61" s="1197"/>
      <c r="Z61" s="1142"/>
      <c r="AA61" s="1143">
        <f>overall_CHP_EmissionsSteam</f>
        <v>0</v>
      </c>
      <c r="AB61" s="1196" t="s">
        <v>259</v>
      </c>
      <c r="AC61" s="1079"/>
      <c r="AD61"/>
      <c r="AE61" s="1079"/>
      <c r="AF61" s="1080"/>
      <c r="AH61" s="1088"/>
      <c r="AI61" s="1079" t="str">
        <f>O61</f>
        <v>Error -  Review inputs</v>
      </c>
      <c r="AJ61" s="1079"/>
      <c r="AK61" s="1102" t="s">
        <v>248</v>
      </c>
      <c r="AL61" s="1079"/>
      <c r="AM61" s="1080"/>
    </row>
    <row r="62" spans="1:39" ht="15.65" customHeight="1" x14ac:dyDescent="0.25">
      <c r="B62" s="1105"/>
      <c r="C62" s="1106"/>
      <c r="D62" s="1106"/>
      <c r="E62" s="1106"/>
      <c r="F62" s="1106"/>
      <c r="G62" s="1106"/>
      <c r="H62" s="1115"/>
      <c r="I62" s="1115"/>
      <c r="J62" s="1106"/>
      <c r="K62" s="1106"/>
      <c r="L62" s="1106"/>
      <c r="M62" s="1106"/>
      <c r="N62" s="1144" t="s">
        <v>120</v>
      </c>
      <c r="O62" s="1145">
        <f>SUM(O60:O61)</f>
        <v>0</v>
      </c>
      <c r="P62" s="1146" t="s">
        <v>90</v>
      </c>
      <c r="Q62" s="1107"/>
      <c r="Y62" s="1088"/>
      <c r="Z62" s="1079"/>
      <c r="AA62" s="1079"/>
      <c r="AB62" s="1079"/>
      <c r="AC62" s="1079"/>
      <c r="AD62" s="1079"/>
      <c r="AE62" s="1079"/>
      <c r="AF62" s="1080"/>
      <c r="AH62" s="1088"/>
      <c r="AI62" s="1079"/>
      <c r="AJ62" s="1079"/>
      <c r="AK62" s="1079"/>
      <c r="AL62" s="1079"/>
      <c r="AM62" s="1080"/>
    </row>
    <row r="63" spans="1:39" ht="15.65" customHeight="1" x14ac:dyDescent="0.25">
      <c r="B63" s="1118"/>
      <c r="C63" s="1118"/>
      <c r="D63" s="1118"/>
      <c r="E63" s="1118"/>
      <c r="F63" s="1118"/>
      <c r="G63" s="1118"/>
      <c r="H63" s="1118"/>
      <c r="I63" s="1118"/>
      <c r="J63" s="1118"/>
      <c r="K63" s="1118"/>
      <c r="L63" s="1118"/>
      <c r="M63" s="1118"/>
      <c r="N63" s="1465"/>
      <c r="O63" s="1465"/>
      <c r="P63" s="1118"/>
      <c r="Q63" s="1118"/>
      <c r="Y63" s="1088"/>
      <c r="Z63"/>
      <c r="AA63"/>
      <c r="AB63"/>
      <c r="AC63" s="1079"/>
      <c r="AD63" s="1079"/>
      <c r="AE63" s="1079"/>
      <c r="AF63" s="1080"/>
      <c r="AH63" s="1088"/>
      <c r="AI63" s="1079"/>
      <c r="AJ63" s="1079"/>
      <c r="AK63" s="1079"/>
      <c r="AL63" s="1079"/>
      <c r="AM63" s="1080"/>
    </row>
    <row r="64" spans="1:39" ht="15.65" customHeight="1" x14ac:dyDescent="0.25">
      <c r="B64" s="1081"/>
      <c r="C64" s="1082"/>
      <c r="D64" s="1082"/>
      <c r="E64" s="1082"/>
      <c r="F64" s="1082"/>
      <c r="G64" s="1150" t="s">
        <v>504</v>
      </c>
      <c r="H64" s="1082"/>
      <c r="I64" s="1082"/>
      <c r="J64" s="1082"/>
      <c r="K64" s="1082"/>
      <c r="L64" s="1082"/>
      <c r="M64" s="1082"/>
      <c r="N64" s="1082"/>
      <c r="O64" s="1082"/>
      <c r="P64" s="1082"/>
      <c r="Q64" s="1083"/>
      <c r="Y64" s="1088"/>
      <c r="Z64" s="1079"/>
      <c r="AA64" s="1079"/>
      <c r="AB64" s="1079"/>
      <c r="AC64" s="1079"/>
      <c r="AD64" s="1079"/>
      <c r="AE64" s="1079"/>
      <c r="AF64" s="1080"/>
      <c r="AH64" s="1088"/>
      <c r="AI64" s="1079"/>
      <c r="AJ64" s="1079"/>
      <c r="AK64" s="1079"/>
      <c r="AL64" s="1079"/>
      <c r="AM64" s="1080"/>
    </row>
    <row r="65" spans="2:39" ht="15.65" customHeight="1" x14ac:dyDescent="0.25">
      <c r="B65" s="1084"/>
      <c r="C65" s="1198" t="s">
        <v>261</v>
      </c>
      <c r="D65" s="1151"/>
      <c r="E65" s="1152"/>
      <c r="F65" s="1151"/>
      <c r="G65" s="1151"/>
      <c r="H65" s="1902" t="s">
        <v>795</v>
      </c>
      <c r="I65" s="1151"/>
      <c r="J65" s="1151"/>
      <c r="K65" s="1151"/>
      <c r="L65" s="1151"/>
      <c r="M65" s="1151"/>
      <c r="N65" s="1151"/>
      <c r="O65" s="1151"/>
      <c r="P65" s="1151"/>
      <c r="Q65" s="1087"/>
      <c r="Y65" s="1088"/>
      <c r="Z65" s="1079"/>
      <c r="AA65" s="1079"/>
      <c r="AB65" s="1079"/>
      <c r="AC65" s="1079"/>
      <c r="AD65" s="1079"/>
      <c r="AE65" s="1079"/>
      <c r="AF65" s="1080"/>
      <c r="AH65" s="1088"/>
      <c r="AI65" s="1079"/>
      <c r="AJ65" s="1079"/>
      <c r="AK65" s="1079"/>
      <c r="AL65" s="1079"/>
      <c r="AM65" s="1080"/>
    </row>
    <row r="66" spans="2:39" ht="15.65" customHeight="1" x14ac:dyDescent="0.25">
      <c r="B66" s="1089"/>
      <c r="C66" s="1090"/>
      <c r="D66" s="1090"/>
      <c r="E66" s="1200" t="s">
        <v>198</v>
      </c>
      <c r="F66" s="1091" t="s">
        <v>253</v>
      </c>
      <c r="G66" s="1091" t="s">
        <v>184</v>
      </c>
      <c r="H66" s="1896"/>
      <c r="I66" s="1111" t="s">
        <v>262</v>
      </c>
      <c r="J66" s="1111" t="s">
        <v>263</v>
      </c>
      <c r="K66" s="1090"/>
      <c r="L66" s="1090"/>
      <c r="M66" s="1090"/>
      <c r="N66" s="1090"/>
      <c r="O66" s="1091" t="s">
        <v>82</v>
      </c>
      <c r="P66" s="1090"/>
      <c r="Q66" s="1094"/>
      <c r="Y66" s="1121" t="s">
        <v>122</v>
      </c>
      <c r="Z66" s="1122" t="s">
        <v>264</v>
      </c>
      <c r="AA66" s="1122" t="s">
        <v>265</v>
      </c>
      <c r="AB66" s="1121" t="s">
        <v>266</v>
      </c>
      <c r="AC66" s="1122" t="s">
        <v>123</v>
      </c>
      <c r="AD66" s="1121" t="s">
        <v>77</v>
      </c>
      <c r="AE66" s="1122" t="s">
        <v>267</v>
      </c>
      <c r="AF66" s="1123" t="s">
        <v>268</v>
      </c>
      <c r="AH66" s="1088"/>
      <c r="AI66" s="1079"/>
      <c r="AJ66" s="1079"/>
      <c r="AK66" s="1079"/>
      <c r="AL66" s="1079"/>
      <c r="AM66" s="1080"/>
    </row>
    <row r="67" spans="2:39" ht="15.65" customHeight="1" x14ac:dyDescent="0.25">
      <c r="B67" s="1095"/>
      <c r="C67" s="1096"/>
      <c r="D67" s="1096"/>
      <c r="E67" s="1173"/>
      <c r="F67" s="1096"/>
      <c r="G67" s="1096"/>
      <c r="H67" s="1096"/>
      <c r="I67" s="1098"/>
      <c r="J67" s="1098"/>
      <c r="K67" s="1096"/>
      <c r="L67" s="1096"/>
      <c r="M67" s="1096"/>
      <c r="N67" s="1125"/>
      <c r="O67" s="1322" t="s">
        <v>269</v>
      </c>
      <c r="P67" s="1155"/>
      <c r="Q67" s="1099"/>
      <c r="Y67" s="1121" t="s">
        <v>128</v>
      </c>
      <c r="Z67" s="1122" t="s">
        <v>270</v>
      </c>
      <c r="AA67" s="1122" t="s">
        <v>270</v>
      </c>
      <c r="AB67" s="1121" t="s">
        <v>271</v>
      </c>
      <c r="AC67" s="1121" t="s">
        <v>272</v>
      </c>
      <c r="AD67" s="1121" t="s">
        <v>273</v>
      </c>
      <c r="AE67" s="1122" t="s">
        <v>270</v>
      </c>
      <c r="AF67" s="1123" t="s">
        <v>270</v>
      </c>
      <c r="AH67" s="1088"/>
      <c r="AI67" s="1079"/>
      <c r="AJ67" s="1079"/>
      <c r="AK67" s="1079"/>
      <c r="AL67" s="1079"/>
      <c r="AM67" s="1080"/>
    </row>
    <row r="68" spans="2:39" ht="15.65" customHeight="1" x14ac:dyDescent="0.25">
      <c r="B68" s="1095"/>
      <c r="C68" s="1113" t="s">
        <v>274</v>
      </c>
      <c r="D68" s="1202"/>
      <c r="E68" s="751"/>
      <c r="F68" s="800"/>
      <c r="G68" s="800"/>
      <c r="H68" s="954"/>
      <c r="I68" s="955"/>
      <c r="J68" s="956"/>
      <c r="K68" s="1096"/>
      <c r="L68" s="1096"/>
      <c r="M68" s="1096"/>
      <c r="N68" s="1130"/>
      <c r="O68" s="1131">
        <f>IF(AND(F68="",G68="",H68="",I68="",J68=""),0,IFERROR(AD68*Y68,'Hidden Lists and Summaries'!$C$158))</f>
        <v>0</v>
      </c>
      <c r="P68" s="1132" t="s">
        <v>90</v>
      </c>
      <c r="Q68" s="1099"/>
      <c r="Y68" s="1147" t="e">
        <f>F68*VLOOKUP(G68,massConv[#All],3,FALSE)</f>
        <v>#N/A</v>
      </c>
      <c r="Z68" s="1148" t="e">
        <f>VLOOKUP(I68,BoilerFuelReferenceTable[#All],2,FALSE)</f>
        <v>#N/A</v>
      </c>
      <c r="AA68" s="1148" t="e">
        <f>IF(I68='Key Values'!$B$209,AE68,AF68)</f>
        <v>#N/A</v>
      </c>
      <c r="AB68" s="1079" t="e">
        <f>Z68+AA68</f>
        <v>#N/A</v>
      </c>
      <c r="AC68" s="1148" t="e">
        <f>VLOOKUP(J68,SteamProperties[#All],6,FALSE)</f>
        <v>#N/A</v>
      </c>
      <c r="AD68" s="1203" t="e">
        <f>IF(H68="",AB68*AC68,H68)</f>
        <v>#N/A</v>
      </c>
      <c r="AE68" s="1148">
        <f>IFERROR(VLOOKUP(iq_location,GaseousFuelEmbodiedEmissions[#All],IF(iq_metro,2,3),FALSE),0)</f>
        <v>0</v>
      </c>
      <c r="AF68" s="1149" t="e">
        <f>VLOOKUP(I68,BoilerFuelReferenceTable[#All],3,FALSE)</f>
        <v>#N/A</v>
      </c>
      <c r="AH68" s="1088"/>
      <c r="AI68" s="1079"/>
      <c r="AJ68" s="1079"/>
      <c r="AK68" s="1079"/>
      <c r="AL68" s="1079"/>
      <c r="AM68" s="1080"/>
    </row>
    <row r="69" spans="2:39" ht="15.65" customHeight="1" x14ac:dyDescent="0.25">
      <c r="B69" s="1095"/>
      <c r="C69" s="1113" t="s">
        <v>275</v>
      </c>
      <c r="D69" s="1202"/>
      <c r="E69" s="752"/>
      <c r="F69" s="801"/>
      <c r="G69" s="802"/>
      <c r="H69" s="957"/>
      <c r="I69" s="958"/>
      <c r="J69" s="959"/>
      <c r="K69" s="1096"/>
      <c r="L69" s="1096"/>
      <c r="M69" s="1096"/>
      <c r="N69" s="1130"/>
      <c r="O69" s="1131">
        <f>IF(AND(F69="",G69="",H69="",I69="",J69=""),0,IFERROR(AD69*Y69,'Hidden Lists and Summaries'!$C$158))</f>
        <v>0</v>
      </c>
      <c r="P69" s="1132" t="s">
        <v>90</v>
      </c>
      <c r="Q69" s="1099"/>
      <c r="Y69" s="1088" t="e">
        <f>F69*VLOOKUP(G69,massConv[#All],3,FALSE)</f>
        <v>#N/A</v>
      </c>
      <c r="Z69" s="1079" t="e">
        <f>VLOOKUP(I69,BoilerFuelReferenceTable[#All],2,FALSE)</f>
        <v>#N/A</v>
      </c>
      <c r="AA69" s="1079" t="e">
        <f>IF(I69='Key Values'!$B$209,AE69,AF69)</f>
        <v>#N/A</v>
      </c>
      <c r="AB69" s="1079" t="e">
        <f>Z69+AA69</f>
        <v>#N/A</v>
      </c>
      <c r="AC69" s="1079" t="e">
        <f>VLOOKUP(J69,SteamProperties[#All],6,FALSE)</f>
        <v>#N/A</v>
      </c>
      <c r="AD69" s="1204" t="e">
        <f t="shared" ref="AD69:AD70" si="0">IF(H69="",AB69*AC69,H69)</f>
        <v>#N/A</v>
      </c>
      <c r="AE69" s="1079">
        <f>IFERROR(VLOOKUP(iq_location,GaseousFuelEmbodiedEmissions[#All],IF(iq_metro,2,3),FALSE),0)</f>
        <v>0</v>
      </c>
      <c r="AF69" s="1080" t="e">
        <f>VLOOKUP(I69,BoilerFuelReferenceTable[#All],3,FALSE)</f>
        <v>#N/A</v>
      </c>
      <c r="AH69" s="1088"/>
      <c r="AI69" s="1079"/>
      <c r="AJ69" s="1079"/>
      <c r="AK69" s="1079"/>
      <c r="AL69" s="1079"/>
      <c r="AM69" s="1080"/>
    </row>
    <row r="70" spans="2:39" ht="15.65" customHeight="1" x14ac:dyDescent="0.25">
      <c r="B70" s="1095"/>
      <c r="C70" s="1113" t="s">
        <v>276</v>
      </c>
      <c r="D70" s="1202"/>
      <c r="E70" s="780"/>
      <c r="F70" s="803"/>
      <c r="G70" s="804"/>
      <c r="H70" s="960"/>
      <c r="I70" s="961"/>
      <c r="J70" s="962"/>
      <c r="K70" s="1096"/>
      <c r="L70" s="1096"/>
      <c r="M70" s="1096"/>
      <c r="N70" s="1130"/>
      <c r="O70" s="1131">
        <f>IF(AND(F70="",G70="",H70="",I70="",J70=""),0,IFERROR(AD70*Y70,'Hidden Lists and Summaries'!$C$158))</f>
        <v>0</v>
      </c>
      <c r="P70" s="1132" t="s">
        <v>90</v>
      </c>
      <c r="Q70" s="1099"/>
      <c r="Y70" s="1197" t="e">
        <f>F70*VLOOKUP(G70,massConv[#All],3,FALSE)</f>
        <v>#N/A</v>
      </c>
      <c r="Z70" s="1142" t="e">
        <f>VLOOKUP(I70,BoilerFuelReferenceTable[#All],2,FALSE)</f>
        <v>#N/A</v>
      </c>
      <c r="AA70" s="1142" t="e">
        <f>IF(I70='Key Values'!$B$209,AE70,AF70)</f>
        <v>#N/A</v>
      </c>
      <c r="AB70" s="1142" t="e">
        <f>Z70+AA70</f>
        <v>#N/A</v>
      </c>
      <c r="AC70" s="1142" t="e">
        <f>VLOOKUP(J70,SteamProperties[#All],6,FALSE)</f>
        <v>#N/A</v>
      </c>
      <c r="AD70" s="1205" t="e">
        <f t="shared" si="0"/>
        <v>#N/A</v>
      </c>
      <c r="AE70" s="1142">
        <f>IFERROR(VLOOKUP(iq_location,GaseousFuelEmbodiedEmissions[#All],IF(iq_metro,2,3),FALSE),0)</f>
        <v>0</v>
      </c>
      <c r="AF70" s="1143" t="e">
        <f>VLOOKUP(I70,BoilerFuelReferenceTable[#All],3,FALSE)</f>
        <v>#N/A</v>
      </c>
      <c r="AH70" s="1088"/>
      <c r="AI70" s="1079"/>
      <c r="AJ70" s="1079"/>
      <c r="AK70" s="1079"/>
      <c r="AL70" s="1079"/>
      <c r="AM70" s="1080"/>
    </row>
    <row r="71" spans="2:39" ht="15.65" customHeight="1" x14ac:dyDescent="0.25">
      <c r="B71" s="1105"/>
      <c r="C71" s="1106"/>
      <c r="D71" s="1106"/>
      <c r="E71" s="1206"/>
      <c r="F71" s="1106"/>
      <c r="G71" s="1106"/>
      <c r="H71" s="1115"/>
      <c r="I71" s="1115"/>
      <c r="J71" s="1106"/>
      <c r="K71" s="1106"/>
      <c r="L71" s="1106"/>
      <c r="M71" s="1106"/>
      <c r="N71" s="1144" t="s">
        <v>120</v>
      </c>
      <c r="O71" s="1145">
        <f>SUM(O68:O70)</f>
        <v>0</v>
      </c>
      <c r="P71" s="1146" t="s">
        <v>90</v>
      </c>
      <c r="Q71" s="1107"/>
      <c r="Y71" s="1088"/>
      <c r="Z71" s="1079"/>
      <c r="AA71" s="1079"/>
      <c r="AB71" s="1079"/>
      <c r="AC71" s="1079"/>
      <c r="AD71" s="1079"/>
      <c r="AE71" s="1148"/>
      <c r="AF71" s="1080"/>
      <c r="AG71" s="1080"/>
      <c r="AH71" s="1088"/>
      <c r="AI71" s="1079">
        <f>O71</f>
        <v>0</v>
      </c>
      <c r="AJ71" s="1079"/>
      <c r="AK71" s="1079" t="str">
        <f>'Hidden Lists and Summaries'!$B$6</f>
        <v>Steam Supply</v>
      </c>
      <c r="AL71" s="1079"/>
      <c r="AM71" s="1080"/>
    </row>
    <row r="72" spans="2:39" ht="15.65" customHeight="1" x14ac:dyDescent="0.25">
      <c r="B72" s="1118"/>
      <c r="C72" s="1118"/>
      <c r="D72" s="1118"/>
      <c r="E72" s="1118"/>
      <c r="F72" s="1118"/>
      <c r="G72" s="1118"/>
      <c r="H72" s="1118"/>
      <c r="I72" s="1118"/>
      <c r="J72" s="1118"/>
      <c r="K72" s="1118"/>
      <c r="L72" s="1118"/>
      <c r="M72" s="1118"/>
      <c r="N72" s="1118"/>
      <c r="O72" s="1118"/>
      <c r="P72" s="1118"/>
      <c r="Q72" s="1118"/>
      <c r="S72" s="101"/>
      <c r="Y72" s="1088"/>
      <c r="Z72" s="1079"/>
      <c r="AA72" s="1079"/>
      <c r="AB72" s="1079"/>
      <c r="AC72" s="1079"/>
      <c r="AD72" s="1079"/>
      <c r="AE72" s="1079"/>
      <c r="AF72" s="1080"/>
      <c r="AH72" s="1088"/>
      <c r="AI72" s="1079"/>
      <c r="AJ72" s="1079"/>
      <c r="AK72" s="1079"/>
      <c r="AL72" s="1079"/>
      <c r="AM72" s="1080"/>
    </row>
    <row r="73" spans="2:39" ht="15.65" customHeight="1" x14ac:dyDescent="0.25">
      <c r="B73" s="1207"/>
      <c r="C73" s="1208"/>
      <c r="D73" s="1208"/>
      <c r="E73" s="1208"/>
      <c r="F73" s="1208"/>
      <c r="G73" s="1208"/>
      <c r="H73" s="1208"/>
      <c r="I73" s="1208"/>
      <c r="J73" s="1208"/>
      <c r="K73" s="1208"/>
      <c r="L73" s="1208"/>
      <c r="M73" s="1208"/>
      <c r="N73" s="1208"/>
      <c r="O73" s="1208"/>
      <c r="P73" s="1208"/>
      <c r="Q73" s="1209"/>
      <c r="S73" s="101"/>
      <c r="Y73" s="1088"/>
      <c r="Z73" s="1079"/>
      <c r="AA73" s="1079"/>
      <c r="AB73" s="1079"/>
      <c r="AC73" s="1079"/>
      <c r="AD73" s="1079"/>
      <c r="AE73" s="1079"/>
      <c r="AF73" s="1080"/>
      <c r="AH73" s="1088"/>
      <c r="AI73" s="1079"/>
      <c r="AJ73" s="1079"/>
      <c r="AK73" s="1079"/>
      <c r="AL73" s="1079"/>
      <c r="AM73" s="1080"/>
    </row>
    <row r="74" spans="2:39" ht="15.65" customHeight="1" x14ac:dyDescent="0.25">
      <c r="B74" s="1210"/>
      <c r="C74" s="1211" t="s">
        <v>277</v>
      </c>
      <c r="D74" s="1212"/>
      <c r="E74" s="1212"/>
      <c r="F74" s="1212"/>
      <c r="G74" s="1212"/>
      <c r="H74" s="1915" t="s">
        <v>796</v>
      </c>
      <c r="I74" s="1212"/>
      <c r="J74" s="1212"/>
      <c r="K74" s="1212"/>
      <c r="L74" s="1212"/>
      <c r="M74" s="1212"/>
      <c r="N74" s="1212"/>
      <c r="O74" s="1212"/>
      <c r="P74" s="1212"/>
      <c r="Q74" s="1213"/>
      <c r="S74" s="101"/>
      <c r="Y74" s="1088"/>
      <c r="Z74" s="1079"/>
      <c r="AA74" s="1079"/>
      <c r="AB74" s="1079"/>
      <c r="AC74" s="1079"/>
      <c r="AD74" s="1079"/>
      <c r="AE74" s="1079"/>
      <c r="AF74" s="1080"/>
      <c r="AH74" s="1088"/>
      <c r="AI74" s="1079"/>
      <c r="AJ74" s="1079"/>
      <c r="AK74" s="1079"/>
      <c r="AL74" s="1079"/>
      <c r="AM74" s="1080"/>
    </row>
    <row r="75" spans="2:39" ht="15.65" customHeight="1" x14ac:dyDescent="0.25">
      <c r="B75" s="1214"/>
      <c r="C75" s="1215"/>
      <c r="D75" s="1215"/>
      <c r="E75" s="1111" t="s">
        <v>278</v>
      </c>
      <c r="F75" s="1111" t="s">
        <v>279</v>
      </c>
      <c r="G75" s="1091" t="s">
        <v>184</v>
      </c>
      <c r="H75" s="1916"/>
      <c r="I75" s="1215"/>
      <c r="J75" s="1215"/>
      <c r="K75" s="1215"/>
      <c r="L75" s="1215"/>
      <c r="M75" s="1215"/>
      <c r="N75" s="1215"/>
      <c r="O75" s="1091" t="s">
        <v>82</v>
      </c>
      <c r="P75" s="1215"/>
      <c r="Q75" s="1216"/>
      <c r="S75" s="101"/>
      <c r="Y75" s="1466" t="s">
        <v>77</v>
      </c>
      <c r="Z75" s="1467" t="s">
        <v>94</v>
      </c>
      <c r="AA75" s="1079"/>
      <c r="AB75" s="1079"/>
      <c r="AC75" s="1079"/>
      <c r="AD75" s="1079"/>
      <c r="AE75" s="1079"/>
      <c r="AF75" s="1080"/>
      <c r="AH75" s="1088"/>
      <c r="AI75" s="1079"/>
      <c r="AJ75" s="1079"/>
      <c r="AK75" s="1079"/>
      <c r="AL75" s="1079"/>
      <c r="AM75" s="1080"/>
    </row>
    <row r="76" spans="2:39" ht="15.65" customHeight="1" x14ac:dyDescent="0.25">
      <c r="B76" s="1217"/>
      <c r="C76" s="1218"/>
      <c r="D76" s="1218"/>
      <c r="E76" s="1218"/>
      <c r="F76" s="1218"/>
      <c r="G76" s="1218"/>
      <c r="H76" s="1218"/>
      <c r="I76" s="1218"/>
      <c r="J76" s="1218"/>
      <c r="K76" s="1218"/>
      <c r="L76" s="1218"/>
      <c r="M76" s="1218"/>
      <c r="N76" s="1218"/>
      <c r="O76" s="1218"/>
      <c r="P76" s="1218"/>
      <c r="Q76" s="1219"/>
      <c r="S76" s="101"/>
      <c r="Y76" s="1121" t="s">
        <v>280</v>
      </c>
      <c r="Z76" s="1123" t="s">
        <v>281</v>
      </c>
      <c r="AA76" s="1079"/>
      <c r="AB76" s="1079"/>
      <c r="AC76" s="1079"/>
      <c r="AD76" s="1079"/>
      <c r="AE76" s="1079"/>
      <c r="AF76" s="1080"/>
      <c r="AH76" s="1088"/>
      <c r="AI76" s="1079"/>
      <c r="AJ76" s="1079"/>
      <c r="AK76" s="1079"/>
      <c r="AL76" s="1079"/>
      <c r="AM76" s="1080"/>
    </row>
    <row r="77" spans="2:39" ht="15.65" customHeight="1" x14ac:dyDescent="0.25">
      <c r="B77" s="1158"/>
      <c r="C77" s="1220" t="s">
        <v>282</v>
      </c>
      <c r="D77" s="1220"/>
      <c r="E77" s="361"/>
      <c r="F77" s="362"/>
      <c r="G77" s="363"/>
      <c r="H77" s="963"/>
      <c r="I77" s="1220"/>
      <c r="J77" s="1220"/>
      <c r="K77" s="1220"/>
      <c r="L77" s="1220"/>
      <c r="M77" s="1220"/>
      <c r="N77" s="1182"/>
      <c r="O77" s="1183">
        <f>IF(AND(F77="",G77="",H77=""),0,IFERROR(Y77*Z77,'Hidden Lists and Summaries'!$C$158))</f>
        <v>0</v>
      </c>
      <c r="P77" s="1184" t="s">
        <v>90</v>
      </c>
      <c r="Q77" s="1221"/>
      <c r="S77" s="101"/>
      <c r="Y77" s="1088">
        <f>H77</f>
        <v>0</v>
      </c>
      <c r="Z77" s="1080">
        <f>F77</f>
        <v>0</v>
      </c>
      <c r="AA77" s="1079"/>
      <c r="AB77" s="1079"/>
      <c r="AC77" s="1102"/>
      <c r="AD77" s="1079"/>
      <c r="AE77" s="1079"/>
      <c r="AF77" s="1080"/>
      <c r="AH77" s="1088"/>
      <c r="AI77" s="1079"/>
      <c r="AJ77" s="1079"/>
      <c r="AK77" s="1079"/>
      <c r="AL77" s="1079"/>
      <c r="AM77" s="1080"/>
    </row>
    <row r="78" spans="2:39" ht="15.65" customHeight="1" x14ac:dyDescent="0.25">
      <c r="B78" s="1158"/>
      <c r="C78" s="1220" t="s">
        <v>283</v>
      </c>
      <c r="D78" s="1220"/>
      <c r="E78" s="365"/>
      <c r="F78" s="366"/>
      <c r="G78" s="366"/>
      <c r="H78" s="964"/>
      <c r="I78" s="1220"/>
      <c r="J78" s="1220"/>
      <c r="K78" s="1220"/>
      <c r="L78" s="1220"/>
      <c r="M78" s="1220"/>
      <c r="N78" s="1130"/>
      <c r="O78" s="1131">
        <f>IF(AND(F78="",G78="",H78=""),0,IFERROR(Y78*Z78,'Hidden Lists and Summaries'!$C$158))</f>
        <v>0</v>
      </c>
      <c r="P78" s="1132" t="s">
        <v>90</v>
      </c>
      <c r="Q78" s="1221"/>
      <c r="S78" s="101"/>
      <c r="Y78" s="1088">
        <f>H78</f>
        <v>0</v>
      </c>
      <c r="Z78" s="1080">
        <f>F78</f>
        <v>0</v>
      </c>
      <c r="AA78" s="1079"/>
      <c r="AB78" s="1079"/>
      <c r="AC78" s="1102"/>
      <c r="AD78" s="1079"/>
      <c r="AE78" s="1079"/>
      <c r="AF78" s="1080"/>
      <c r="AH78" s="1088"/>
      <c r="AI78" s="1079"/>
      <c r="AJ78" s="1079"/>
      <c r="AK78" s="1079"/>
      <c r="AL78" s="1079"/>
      <c r="AM78" s="1080"/>
    </row>
    <row r="79" spans="2:39" ht="15.65" customHeight="1" x14ac:dyDescent="0.25">
      <c r="B79" s="1158"/>
      <c r="C79" s="1220" t="s">
        <v>284</v>
      </c>
      <c r="D79" s="1220"/>
      <c r="E79" s="368"/>
      <c r="F79" s="366"/>
      <c r="G79" s="366"/>
      <c r="H79" s="965"/>
      <c r="I79" s="1220"/>
      <c r="J79" s="1220"/>
      <c r="K79" s="1220"/>
      <c r="L79" s="1220"/>
      <c r="M79" s="1220"/>
      <c r="N79" s="1130"/>
      <c r="O79" s="1131">
        <f>IF(AND(F79="",G79="",H79=""),0,IFERROR(Y79*Z79,'Hidden Lists and Summaries'!$C$158))</f>
        <v>0</v>
      </c>
      <c r="P79" s="1132" t="s">
        <v>90</v>
      </c>
      <c r="Q79" s="1221"/>
      <c r="S79" s="101"/>
      <c r="Y79" s="1088">
        <f>H79</f>
        <v>0</v>
      </c>
      <c r="Z79" s="1080">
        <f>F79</f>
        <v>0</v>
      </c>
      <c r="AA79" s="1079"/>
      <c r="AB79" s="1079"/>
      <c r="AC79" s="1102"/>
      <c r="AD79" s="1079"/>
      <c r="AE79" s="1079"/>
      <c r="AF79" s="1080"/>
      <c r="AH79" s="1088"/>
      <c r="AI79" s="1079"/>
      <c r="AJ79" s="1079"/>
      <c r="AK79" s="1079"/>
      <c r="AL79" s="1079"/>
      <c r="AM79" s="1080"/>
    </row>
    <row r="80" spans="2:39" ht="15.65" customHeight="1" x14ac:dyDescent="0.25">
      <c r="B80" s="1158"/>
      <c r="C80" s="1220" t="s">
        <v>285</v>
      </c>
      <c r="D80" s="1220"/>
      <c r="E80" s="370"/>
      <c r="F80" s="371"/>
      <c r="G80" s="371"/>
      <c r="H80" s="966"/>
      <c r="I80" s="1220"/>
      <c r="J80" s="1220"/>
      <c r="K80" s="1220"/>
      <c r="L80" s="1220"/>
      <c r="M80" s="1220"/>
      <c r="N80" s="1222"/>
      <c r="O80" s="1131">
        <f>IF(AND(F80="",G80="",H80=""),0,IFERROR(Y80*Z80,'Hidden Lists and Summaries'!$C$158))</f>
        <v>0</v>
      </c>
      <c r="P80" s="1132" t="s">
        <v>90</v>
      </c>
      <c r="Q80" s="1221"/>
      <c r="S80" s="101"/>
      <c r="Y80" s="1197">
        <f>H80</f>
        <v>0</v>
      </c>
      <c r="Z80" s="1143">
        <f>F80</f>
        <v>0</v>
      </c>
      <c r="AA80" s="1079"/>
      <c r="AB80" s="1079"/>
      <c r="AC80" s="1102"/>
      <c r="AD80" s="1079"/>
      <c r="AE80" s="1079"/>
      <c r="AF80" s="1080"/>
      <c r="AH80" s="1088"/>
      <c r="AI80" s="1079"/>
      <c r="AJ80" s="1079"/>
      <c r="AK80" s="1079"/>
      <c r="AL80" s="1079"/>
      <c r="AM80" s="1080"/>
    </row>
    <row r="81" spans="2:39" ht="15.65" customHeight="1" x14ac:dyDescent="0.25">
      <c r="B81" s="1223"/>
      <c r="C81" s="1161"/>
      <c r="D81" s="1161"/>
      <c r="E81" s="1161"/>
      <c r="F81" s="1161"/>
      <c r="G81" s="1161"/>
      <c r="H81" s="1161"/>
      <c r="I81" s="1161"/>
      <c r="J81" s="1161"/>
      <c r="K81" s="1161"/>
      <c r="L81" s="1161"/>
      <c r="M81" s="1161"/>
      <c r="N81" s="1224" t="s">
        <v>120</v>
      </c>
      <c r="O81" s="1225">
        <f>SUM(O77:O80)</f>
        <v>0</v>
      </c>
      <c r="P81" s="1226" t="s">
        <v>90</v>
      </c>
      <c r="Q81" s="1227"/>
      <c r="S81" s="101"/>
      <c r="Y81" s="1088"/>
      <c r="Z81" s="1079"/>
      <c r="AA81" s="1079"/>
      <c r="AB81" s="1079"/>
      <c r="AC81" s="1102"/>
      <c r="AD81" s="1079"/>
      <c r="AE81" s="1079"/>
      <c r="AF81" s="1080"/>
      <c r="AH81" s="1088"/>
      <c r="AI81" s="1079">
        <f>O81</f>
        <v>0</v>
      </c>
      <c r="AJ81" s="1079"/>
      <c r="AK81" s="1079" t="str">
        <f>'Hidden Lists and Summaries'!$B$5</f>
        <v>Embodied (Upstream)</v>
      </c>
      <c r="AL81" s="1079"/>
      <c r="AM81" s="1080" t="s">
        <v>286</v>
      </c>
    </row>
    <row r="82" spans="2:39" ht="15.65" customHeight="1" x14ac:dyDescent="0.25">
      <c r="B82" s="1118"/>
      <c r="C82" s="1118"/>
      <c r="D82" s="1118"/>
      <c r="E82" s="1118"/>
      <c r="F82" s="1118"/>
      <c r="G82" s="1118"/>
      <c r="H82" s="1118"/>
      <c r="I82" s="1118"/>
      <c r="J82" s="1118"/>
      <c r="K82" s="1118"/>
      <c r="L82" s="1118"/>
      <c r="M82" s="1118"/>
      <c r="N82" s="1118"/>
      <c r="O82" s="1118"/>
      <c r="P82" s="1118"/>
      <c r="Q82" s="1118"/>
      <c r="S82" s="101"/>
      <c r="Y82" s="1088"/>
      <c r="Z82" s="1079"/>
      <c r="AA82" s="1079"/>
      <c r="AB82" s="1079"/>
      <c r="AC82" s="1102"/>
      <c r="AD82" s="1079"/>
      <c r="AE82" s="1079"/>
      <c r="AF82" s="1080"/>
      <c r="AH82" s="1088"/>
      <c r="AI82" s="1079"/>
      <c r="AJ82" s="1079"/>
      <c r="AK82" s="1079"/>
      <c r="AL82" s="1079"/>
      <c r="AM82" s="1080"/>
    </row>
    <row r="83" spans="2:39" ht="15.65" customHeight="1" x14ac:dyDescent="0.25">
      <c r="B83" s="1081"/>
      <c r="C83" s="1082"/>
      <c r="D83" s="1082"/>
      <c r="E83" s="1082"/>
      <c r="F83" s="1082"/>
      <c r="G83" s="1082"/>
      <c r="H83" s="1907" t="s">
        <v>287</v>
      </c>
      <c r="I83" s="1907"/>
      <c r="J83" s="1907"/>
      <c r="K83" s="1082"/>
      <c r="L83" s="1082"/>
      <c r="M83" s="1082"/>
      <c r="N83" s="1082"/>
      <c r="O83" s="1082"/>
      <c r="P83" s="1082"/>
      <c r="Q83" s="1083"/>
      <c r="Y83" s="1088"/>
      <c r="Z83" s="1079"/>
      <c r="AA83" s="1079"/>
      <c r="AB83" s="1079"/>
      <c r="AC83" s="1102"/>
      <c r="AD83" s="1079"/>
      <c r="AE83" s="1079"/>
      <c r="AF83" s="1080"/>
      <c r="AH83" s="1088"/>
      <c r="AI83" s="1079"/>
      <c r="AJ83" s="1079"/>
      <c r="AK83" s="1079"/>
      <c r="AL83" s="1079"/>
      <c r="AM83" s="1080"/>
    </row>
    <row r="84" spans="2:39" ht="15.65" customHeight="1" x14ac:dyDescent="0.25">
      <c r="B84" s="1084"/>
      <c r="C84" s="1198" t="s">
        <v>902</v>
      </c>
      <c r="D84" s="1151"/>
      <c r="E84" s="1151"/>
      <c r="F84" s="1151"/>
      <c r="G84" s="1151"/>
      <c r="H84" s="1151"/>
      <c r="I84" s="1915" t="s">
        <v>797</v>
      </c>
      <c r="J84" s="1902" t="s">
        <v>289</v>
      </c>
      <c r="K84" s="1902" t="s">
        <v>515</v>
      </c>
      <c r="L84" s="1151"/>
      <c r="M84" s="1151"/>
      <c r="N84" s="1151"/>
      <c r="O84" s="1151"/>
      <c r="P84" s="1151"/>
      <c r="Q84" s="1087"/>
      <c r="Y84" s="1088"/>
      <c r="Z84" s="1079"/>
      <c r="AA84" s="1079"/>
      <c r="AB84" s="1079"/>
      <c r="AC84" s="1102"/>
      <c r="AD84" s="1079"/>
      <c r="AE84" s="1079"/>
      <c r="AF84" s="1080"/>
      <c r="AH84" s="1088"/>
      <c r="AI84" s="1079"/>
      <c r="AJ84" s="1079"/>
      <c r="AK84" s="1079"/>
      <c r="AL84" s="1079"/>
      <c r="AM84" s="1080"/>
    </row>
    <row r="85" spans="2:39" ht="15.65" customHeight="1" x14ac:dyDescent="0.25">
      <c r="B85" s="1089"/>
      <c r="C85" s="1090"/>
      <c r="D85" s="1090"/>
      <c r="E85" s="1091" t="s">
        <v>112</v>
      </c>
      <c r="F85" s="1091" t="s">
        <v>117</v>
      </c>
      <c r="G85" s="1091" t="s">
        <v>119</v>
      </c>
      <c r="H85" s="1111" t="s">
        <v>184</v>
      </c>
      <c r="I85" s="1916"/>
      <c r="J85" s="1896"/>
      <c r="K85" s="1896"/>
      <c r="L85" s="1093"/>
      <c r="M85" s="1093"/>
      <c r="N85" s="1093"/>
      <c r="O85" s="1091" t="s">
        <v>82</v>
      </c>
      <c r="P85" s="1093"/>
      <c r="Q85" s="1112"/>
      <c r="Y85" s="1325" t="s">
        <v>106</v>
      </c>
      <c r="Z85" s="1231" t="s">
        <v>107</v>
      </c>
      <c r="AA85" s="1232" t="s">
        <v>108</v>
      </c>
      <c r="AB85" s="1122" t="s">
        <v>109</v>
      </c>
      <c r="AC85" s="1370"/>
      <c r="AD85" s="1079"/>
      <c r="AE85" s="1079"/>
      <c r="AF85" s="1080"/>
      <c r="AH85" s="1088"/>
      <c r="AI85" s="1079"/>
      <c r="AJ85" s="1079"/>
      <c r="AK85" s="1079"/>
      <c r="AL85" s="1079"/>
      <c r="AM85" s="1080"/>
    </row>
    <row r="86" spans="2:39" ht="15.65" customHeight="1" x14ac:dyDescent="0.25">
      <c r="B86" s="1170"/>
      <c r="C86" s="1171"/>
      <c r="D86" s="1171"/>
      <c r="E86" s="1172"/>
      <c r="F86" s="1172"/>
      <c r="G86" s="1172"/>
      <c r="H86" s="1352"/>
      <c r="I86" s="1329"/>
      <c r="J86" s="1479"/>
      <c r="K86" s="1479"/>
      <c r="L86" s="1174"/>
      <c r="M86" s="1174"/>
      <c r="N86" s="1174"/>
      <c r="O86" s="1172"/>
      <c r="P86" s="1174"/>
      <c r="Q86" s="1332"/>
      <c r="Y86" s="1325"/>
      <c r="Z86" s="1231"/>
      <c r="AA86" s="1232"/>
      <c r="AB86" s="1122"/>
      <c r="AC86" s="1370"/>
      <c r="AD86" s="1079"/>
      <c r="AE86" s="1079"/>
      <c r="AF86" s="1080"/>
      <c r="AH86" s="1088"/>
      <c r="AI86" s="1079"/>
      <c r="AJ86" s="1079"/>
      <c r="AK86" s="1079"/>
      <c r="AL86" s="1079"/>
      <c r="AM86" s="1080"/>
    </row>
    <row r="87" spans="2:39" ht="15.65" customHeight="1" x14ac:dyDescent="0.25">
      <c r="B87" s="1095"/>
      <c r="C87" s="1096"/>
      <c r="D87" s="1096"/>
      <c r="E87" s="1096"/>
      <c r="F87" s="1096"/>
      <c r="G87" s="1096"/>
      <c r="H87" s="1098"/>
      <c r="I87" s="100"/>
      <c r="J87" s="1401"/>
      <c r="K87" s="1096"/>
      <c r="L87" s="1099"/>
      <c r="M87" s="1182"/>
      <c r="N87" s="1402" t="s">
        <v>257</v>
      </c>
      <c r="O87" s="1402" t="s">
        <v>259</v>
      </c>
      <c r="P87" s="1403"/>
      <c r="Q87" s="1099"/>
      <c r="Y87" s="1156" t="s">
        <v>113</v>
      </c>
      <c r="Z87" s="1232" t="s">
        <v>114</v>
      </c>
      <c r="AA87" s="1156" t="s">
        <v>113</v>
      </c>
      <c r="AB87" s="1122" t="s">
        <v>115</v>
      </c>
      <c r="AC87" s="1102"/>
      <c r="AD87" s="1079"/>
      <c r="AE87" s="1079"/>
      <c r="AF87" s="1080"/>
      <c r="AH87" s="1088"/>
      <c r="AI87" s="1079"/>
      <c r="AJ87" s="1079"/>
      <c r="AK87" s="1079"/>
      <c r="AL87" s="1079"/>
      <c r="AM87" s="1080"/>
    </row>
    <row r="88" spans="2:39" ht="15.65" customHeight="1" x14ac:dyDescent="0.25">
      <c r="B88" s="1095"/>
      <c r="C88" s="1113" t="s">
        <v>291</v>
      </c>
      <c r="D88" s="1096"/>
      <c r="E88" s="1031"/>
      <c r="F88" s="1032"/>
      <c r="G88" s="612"/>
      <c r="H88" s="613"/>
      <c r="I88" s="1028"/>
      <c r="J88" s="1029"/>
      <c r="K88" s="1030"/>
      <c r="L88" s="1099"/>
      <c r="M88" s="1131"/>
      <c r="N88" s="1131">
        <f>IF(AND(E88="",F88="",G88="",H88="",I88="",J88="",K88=""),0,IFERROR(Z88*AA88*AB88,'Hidden Lists and Summaries'!$C$158))</f>
        <v>0</v>
      </c>
      <c r="O88" s="1131">
        <f>IF(AND(E88="",F88="",G88="",H88="",I88="",J88="",K88=""),0,IFERROR(Y88*Z88*AB88,'Hidden Lists and Summaries'!$C$158))</f>
        <v>0</v>
      </c>
      <c r="P88" s="1132" t="s">
        <v>90</v>
      </c>
      <c r="Q88" s="1099"/>
      <c r="Y88" s="1480" t="str">
        <f>IF(I88&lt;&gt;"",I88,
IF(E88="Solid Fuel",VLOOKUP(F88,'Key Values'!$B$40:$G$58,6,FALSE),
IF(E88="Gaseous Fuel", VLOOKUP(F88,'Key Values'!$B$71:$G$88,6,FALSE),
IF(E88="Liquid Fuel", VLOOKUP(F88,'Key Values'!$B$100:$H$120,7,FALSE),
'Hidden Lists and Summaries'!$C$157))))</f>
        <v>No default, please enter a bespoke value</v>
      </c>
      <c r="Z88" s="1159" t="e">
        <f>IF(J88&lt;&gt;"",J88,IF(E88="Solid Fuel",VLOOKUP(F88,'Key Values'!$B$40:$G$58,2,FALSE),
IF(E88="Gaseous Fuel",VLOOKUP(F88,'Key Values'!$B$71:$G$88,2,FALSE),
VLOOKUP(F88,'Key Values'!$B$100:$H$120,2,FALSE))))</f>
        <v>#N/A</v>
      </c>
      <c r="AA88" s="1229" t="e" cm="1">
        <f t="array" ref="AA88">_xlfn.IFS(K88&lt;&gt;"",K88,E88="Solid Fuel", VLOOKUP(F88,'Key Values'!$B$61:$C$68,2,FALSE),
E88="Liquid fuel",VLOOKUP(F88,'Key Values'!$B$123:$C$143,2,FALSE),
E88="Gaseous Fuel", IF(VLOOKUP(F88,GasFuel[#All],7,FALSE)=TRUE,IF(F88='Key Values'!$B$77,'Hidden Lists and Summaries'!$C$157,VLOOKUP(iq_location,GaseousFuelEmbodiedEmissions[#All],IF(iq_metro="Yes",2,3),FALSE)),'Hidden Lists and Summaries'!$C$157))</f>
        <v>#N/A</v>
      </c>
      <c r="AB88" s="1481" t="e" cm="1">
        <f t="array" ref="AB88">_xlfn.IFS('Key Values'!$B$35=E88, VLOOKUP(H88,massConv[#All], 2, FALSE),
'Key Values'!$B$36=E88, IF(VLOOKUP(F88,'Key Values'!$B$101:$H$121,3,FALSE)="GJ/t", VLOOKUP(H88,massConv[#All], 2, FALSE), VLOOKUP(H88,volConv[#All], 2, FALSE)),
'Key Values'!$B$37=E88, VLOOKUP(H88,volConv[#All], 2, FALSE)) * G88</f>
        <v>#N/A</v>
      </c>
      <c r="AC88" s="101"/>
      <c r="AD88" s="1079"/>
      <c r="AE88" s="1079"/>
      <c r="AF88" s="1080"/>
      <c r="AH88" s="1088"/>
      <c r="AI88" s="1079"/>
      <c r="AJ88" s="1079"/>
      <c r="AK88" s="1079"/>
      <c r="AL88" s="1079"/>
      <c r="AM88" s="1080"/>
    </row>
    <row r="89" spans="2:39" ht="15.65" customHeight="1" x14ac:dyDescent="0.25">
      <c r="B89" s="1105"/>
      <c r="C89" s="1106"/>
      <c r="D89" s="1106"/>
      <c r="E89" s="1106"/>
      <c r="F89" s="1106"/>
      <c r="G89" s="1106"/>
      <c r="H89" s="1106"/>
      <c r="I89" s="1106"/>
      <c r="J89" s="1106"/>
      <c r="K89" s="1106"/>
      <c r="L89" s="1106"/>
      <c r="M89" s="1144" t="s">
        <v>120</v>
      </c>
      <c r="N89" s="1242">
        <f>SUM(N88)</f>
        <v>0</v>
      </c>
      <c r="O89" s="1145">
        <f>SUM(O88)</f>
        <v>0</v>
      </c>
      <c r="P89" s="1146" t="s">
        <v>90</v>
      </c>
      <c r="Q89" s="1107"/>
      <c r="Y89" s="1340"/>
      <c r="Z89" s="1079"/>
      <c r="AA89" s="1234"/>
      <c r="AB89" s="1234"/>
      <c r="AC89" s="101"/>
      <c r="AD89" s="1079"/>
      <c r="AE89" s="1079"/>
      <c r="AF89" s="1080"/>
      <c r="AH89" s="1088">
        <f>N89</f>
        <v>0</v>
      </c>
      <c r="AI89" s="1079">
        <f>O89</f>
        <v>0</v>
      </c>
      <c r="AJ89" s="1079" t="str">
        <f>'Hidden Lists and Summaries'!$B$5</f>
        <v>Embodied (Upstream)</v>
      </c>
      <c r="AK89" s="1079" t="s">
        <v>248</v>
      </c>
      <c r="AL89" s="1079" t="s">
        <v>243</v>
      </c>
      <c r="AM89" s="1080"/>
    </row>
    <row r="90" spans="2:39" s="1164" customFormat="1" ht="15.65" customHeight="1" x14ac:dyDescent="0.25">
      <c r="B90" s="1482"/>
      <c r="C90" s="1336"/>
      <c r="D90" s="1336"/>
      <c r="E90" s="1108"/>
      <c r="F90" s="1337"/>
      <c r="G90" s="1483"/>
      <c r="H90" s="1338"/>
      <c r="I90" s="1484"/>
      <c r="J90" s="1336"/>
      <c r="K90" s="1108"/>
      <c r="L90" s="1108"/>
      <c r="M90" s="1108"/>
      <c r="N90" s="1108"/>
      <c r="O90" s="1108"/>
      <c r="P90" s="1108"/>
      <c r="Q90" s="1108"/>
      <c r="R90" s="1102"/>
      <c r="Y90" s="1485"/>
      <c r="Z90" s="1102"/>
      <c r="AA90" s="1234"/>
      <c r="AB90" s="1234"/>
      <c r="AC90" s="101"/>
      <c r="AD90" s="1102"/>
      <c r="AE90" s="1102"/>
      <c r="AF90" s="1166"/>
      <c r="AH90" s="1165"/>
      <c r="AI90" s="1102"/>
      <c r="AJ90" s="1102"/>
      <c r="AK90" s="1102"/>
      <c r="AL90" s="1102"/>
      <c r="AM90" s="1166"/>
    </row>
    <row r="91" spans="2:39" ht="15.65" customHeight="1" x14ac:dyDescent="0.25">
      <c r="B91" s="1081"/>
      <c r="C91" s="1082"/>
      <c r="D91" s="1082"/>
      <c r="E91" s="1082"/>
      <c r="F91" s="1082"/>
      <c r="G91" s="1082"/>
      <c r="H91" s="1907" t="s">
        <v>287</v>
      </c>
      <c r="I91" s="1907"/>
      <c r="J91" s="1907"/>
      <c r="K91" s="1082"/>
      <c r="L91" s="1082"/>
      <c r="M91" s="1082"/>
      <c r="N91" s="1082"/>
      <c r="O91" s="1082"/>
      <c r="P91" s="1082"/>
      <c r="Q91" s="1083"/>
      <c r="Y91" s="1088"/>
      <c r="Z91" s="1079"/>
      <c r="AA91" s="1079"/>
      <c r="AB91" s="1079"/>
      <c r="AC91" s="1102"/>
      <c r="AD91" s="1079"/>
      <c r="AE91" s="1079"/>
      <c r="AF91" s="1080"/>
      <c r="AH91" s="1088"/>
      <c r="AI91" s="1079"/>
      <c r="AJ91" s="1079"/>
      <c r="AK91" s="1079"/>
      <c r="AL91" s="1079"/>
      <c r="AM91" s="1080"/>
    </row>
    <row r="92" spans="2:39" ht="15.65" customHeight="1" x14ac:dyDescent="0.25">
      <c r="B92" s="1084"/>
      <c r="C92" s="1198" t="s">
        <v>288</v>
      </c>
      <c r="D92" s="1151"/>
      <c r="E92" s="1151"/>
      <c r="F92" s="1151"/>
      <c r="G92" s="1151"/>
      <c r="H92" s="1151"/>
      <c r="I92" s="1915" t="s">
        <v>797</v>
      </c>
      <c r="J92" s="1902" t="s">
        <v>289</v>
      </c>
      <c r="K92" s="1902" t="s">
        <v>515</v>
      </c>
      <c r="L92" s="1151"/>
      <c r="M92" s="1151"/>
      <c r="N92" s="1151"/>
      <c r="O92" s="1151"/>
      <c r="P92" s="1151"/>
      <c r="Q92" s="1087"/>
      <c r="Y92" s="1088"/>
      <c r="Z92" s="1079"/>
      <c r="AA92" s="1079"/>
      <c r="AB92" s="1079"/>
      <c r="AC92" s="1102"/>
      <c r="AD92" s="1079"/>
      <c r="AE92" s="1079"/>
      <c r="AF92" s="1080"/>
      <c r="AH92" s="1088"/>
      <c r="AI92" s="1079"/>
      <c r="AJ92" s="1079"/>
      <c r="AK92" s="1079"/>
      <c r="AL92" s="1079"/>
      <c r="AM92" s="1080"/>
    </row>
    <row r="93" spans="2:39" ht="15.65" customHeight="1" x14ac:dyDescent="0.25">
      <c r="B93" s="1089"/>
      <c r="C93" s="1090"/>
      <c r="D93" s="1090"/>
      <c r="E93" s="1091" t="s">
        <v>112</v>
      </c>
      <c r="F93" s="1091" t="s">
        <v>117</v>
      </c>
      <c r="G93" s="1091" t="s">
        <v>119</v>
      </c>
      <c r="H93" s="1111" t="s">
        <v>184</v>
      </c>
      <c r="I93" s="1916"/>
      <c r="J93" s="1896"/>
      <c r="K93" s="1896"/>
      <c r="L93" s="1093"/>
      <c r="M93" s="1093"/>
      <c r="N93" s="1093"/>
      <c r="O93" s="1091" t="s">
        <v>82</v>
      </c>
      <c r="P93" s="1093"/>
      <c r="Q93" s="1112"/>
      <c r="Y93" s="1325" t="s">
        <v>106</v>
      </c>
      <c r="Z93" s="1231" t="s">
        <v>107</v>
      </c>
      <c r="AA93" s="1232" t="s">
        <v>108</v>
      </c>
      <c r="AB93" s="1122" t="s">
        <v>109</v>
      </c>
      <c r="AC93" s="1370"/>
      <c r="AD93" s="1079"/>
      <c r="AE93" s="1079"/>
      <c r="AF93" s="1080"/>
      <c r="AH93" s="1088"/>
      <c r="AI93" s="1079"/>
      <c r="AJ93" s="1079"/>
      <c r="AK93" s="1079"/>
      <c r="AL93" s="1079"/>
      <c r="AM93" s="1080"/>
    </row>
    <row r="94" spans="2:39" ht="15.65" customHeight="1" x14ac:dyDescent="0.25">
      <c r="B94" s="1095"/>
      <c r="C94" s="1096"/>
      <c r="D94" s="1096"/>
      <c r="E94" s="1096"/>
      <c r="F94" s="1096"/>
      <c r="G94" s="1096"/>
      <c r="H94" s="1098"/>
      <c r="I94" s="100"/>
      <c r="J94" s="1401"/>
      <c r="K94" s="1096"/>
      <c r="L94" s="1099"/>
      <c r="M94" s="1182"/>
      <c r="N94" s="1402" t="s">
        <v>257</v>
      </c>
      <c r="O94" s="1402" t="s">
        <v>259</v>
      </c>
      <c r="P94" s="1403"/>
      <c r="Q94" s="1099"/>
      <c r="Y94" s="1156" t="s">
        <v>113</v>
      </c>
      <c r="Z94" s="1232" t="s">
        <v>114</v>
      </c>
      <c r="AA94" s="1156" t="s">
        <v>113</v>
      </c>
      <c r="AB94" s="1122" t="s">
        <v>115</v>
      </c>
      <c r="AC94" s="1102"/>
      <c r="AD94" s="1079"/>
      <c r="AE94" s="1079"/>
      <c r="AF94" s="1080"/>
      <c r="AH94" s="1088"/>
      <c r="AI94" s="1079"/>
      <c r="AJ94" s="1079"/>
      <c r="AK94" s="1079"/>
      <c r="AL94" s="1079"/>
      <c r="AM94" s="1080"/>
    </row>
    <row r="95" spans="2:39" ht="15.65" customHeight="1" x14ac:dyDescent="0.25">
      <c r="B95" s="1095"/>
      <c r="C95" s="1113" t="s">
        <v>291</v>
      </c>
      <c r="D95" s="1096"/>
      <c r="E95" s="967"/>
      <c r="F95" s="968"/>
      <c r="G95" s="374"/>
      <c r="H95" s="427"/>
      <c r="I95" s="975"/>
      <c r="J95" s="976"/>
      <c r="K95" s="977"/>
      <c r="L95" s="1099"/>
      <c r="M95" s="1131"/>
      <c r="N95" s="1131">
        <f>IF(AND(E95="",F95="",G95="",H95="",I95="",J95="",K95=""),0,IFERROR(Z95*AA95*AB95,'Hidden Lists and Summaries'!$C$158))</f>
        <v>0</v>
      </c>
      <c r="O95" s="1131">
        <f>IF(AND(E95="",F95="",G95="",H95="",I95="",J95="",K95=""),0,IFERROR(Y95*Z95*AB95,'Hidden Lists and Summaries'!$C$158))</f>
        <v>0</v>
      </c>
      <c r="P95" s="1132" t="s">
        <v>90</v>
      </c>
      <c r="Q95" s="1099"/>
      <c r="Y95" s="1404" t="str">
        <f>IF(I95&lt;&gt;"",I95,
IF(E95="Solid Fuel",VLOOKUP(F95,'Key Values'!$B$40:$G$58,6,FALSE),
IF(E95="Gaseous Fuel", VLOOKUP(F95,'Key Values'!$B$71:$G$88,6,FALSE),
IF(E95="Liquid Fuel", VLOOKUP(F95,'Key Values'!$B$100:$H$120,7,FALSE),
'Hidden Lists and Summaries'!$C$157))))</f>
        <v>No default, please enter a bespoke value</v>
      </c>
      <c r="Z95" s="1148" t="e">
        <f>IF(J95&lt;&gt;"",J95,IF(E95="Solid Fuel",VLOOKUP(F95,'Key Values'!$B$40:$G$58,2,FALSE),
IF(E95="Gaseous Fuel",VLOOKUP(F95,'Key Values'!$B$71:$G$88,2,FALSE),
VLOOKUP(F95,'Key Values'!$B$100:$H$120,2,FALSE))))</f>
        <v>#N/A</v>
      </c>
      <c r="AA95" s="1405" t="e" cm="1">
        <f t="array" ref="AA95">_xlfn.IFS(K95&lt;&gt;"",K95,E95="Solid Fuel", VLOOKUP(F95,'Key Values'!$B$61:$C$68,2,FALSE),
E95="Liquid fuel",VLOOKUP(F95,'Key Values'!$B$123:$C$143,2,FALSE),
E95="Gaseous Fuel", IF(VLOOKUP(F95,GasFuel[#All],7,FALSE)=TRUE,IF(F95='Key Values'!$B$77,'Hidden Lists and Summaries'!$C$157,VLOOKUP(iq_location,GaseousFuelEmbodiedEmissions[#All],IF(iq_metro="Yes",2,3),FALSE)),'Hidden Lists and Summaries'!$C$157))</f>
        <v>#N/A</v>
      </c>
      <c r="AB95" s="1406" t="e" cm="1">
        <f t="array" ref="AB95">_xlfn.IFS('Key Values'!$B$35=E95, VLOOKUP(H95,massConv[#All], 2, FALSE),
'Key Values'!$B$36=E95, IF(VLOOKUP(F95,'Key Values'!$B$101:$H$121,3,FALSE)="GJ/t", VLOOKUP(H95,massConv[#All], 2, FALSE), VLOOKUP(H95,volConv[#All], 2, FALSE)),
'Key Values'!$B$37=E95, VLOOKUP(H95,volConv[#All], 2, FALSE)) * G95</f>
        <v>#N/A</v>
      </c>
      <c r="AC95" s="101"/>
      <c r="AD95" s="1079"/>
      <c r="AE95" s="1079"/>
      <c r="AF95" s="1080"/>
      <c r="AH95" s="1088"/>
      <c r="AI95" s="1079"/>
      <c r="AJ95" s="1079"/>
      <c r="AK95" s="1079"/>
      <c r="AL95" s="1079"/>
      <c r="AM95" s="1080"/>
    </row>
    <row r="96" spans="2:39" ht="15.65" customHeight="1" x14ac:dyDescent="0.25">
      <c r="B96" s="1095"/>
      <c r="C96" s="1113" t="s">
        <v>292</v>
      </c>
      <c r="D96" s="1096"/>
      <c r="E96" s="969"/>
      <c r="F96" s="970"/>
      <c r="G96" s="379"/>
      <c r="H96" s="380"/>
      <c r="I96" s="978"/>
      <c r="J96" s="979"/>
      <c r="K96" s="980"/>
      <c r="L96" s="1099"/>
      <c r="M96" s="1131"/>
      <c r="N96" s="1131">
        <f>IF(AND(E96="",F96="",G96="",H96="",I96="",J96="",K96=""),0,IFERROR(Z96*AA96*AB96,'Hidden Lists and Summaries'!$C$158))</f>
        <v>0</v>
      </c>
      <c r="O96" s="1131">
        <f>IF(AND(E96="",F96="",G96="",H96="",I96="",J96="",K96=""),0,IFERROR(Y96*Z96*AB96,'Hidden Lists and Summaries'!$C$158))</f>
        <v>0</v>
      </c>
      <c r="P96" s="1132" t="s">
        <v>90</v>
      </c>
      <c r="Q96" s="1099"/>
      <c r="Y96" s="1340" t="str">
        <f>IF(I96&lt;&gt;"",I96,
IF(E96="Solid Fuel",VLOOKUP(F96,'Key Values'!$B$40:$G$58,6,FALSE),
IF(E96="Gaseous Fuel", VLOOKUP(F96,'Key Values'!$B$71:$G$88,6,FALSE),
IF(E96="Liquid Fuel", VLOOKUP(F96,'Key Values'!$B$100:$H$120,7,FALSE),
'Hidden Lists and Summaries'!$C$157))))</f>
        <v>No default, please enter a bespoke value</v>
      </c>
      <c r="Z96" s="1079" t="e">
        <f>IF(J96&lt;&gt;"",J96,IF(E96="Solid Fuel",VLOOKUP(F96,'Key Values'!$B$40:$G$58,2,FALSE),
IF(E96="Gaseous Fuel",VLOOKUP(F96,'Key Values'!$B$71:$G$88,2,FALSE),
VLOOKUP(F96,'Key Values'!$B$100:$H$120,2,FALSE))))</f>
        <v>#N/A</v>
      </c>
      <c r="AA96" s="1234" t="e" cm="1">
        <f t="array" ref="AA96">_xlfn.IFS(K96&lt;&gt;"",K96,E96="Solid Fuel", VLOOKUP(F96,'Key Values'!$B$61:$C$68,2,FALSE),
E96="Liquid fuel",VLOOKUP(F96,'Key Values'!$B$123:$C$143,2,FALSE),
E96="Gaseous Fuel", IF(VLOOKUP(F96,GasFuel[#All],7,FALSE)=TRUE,IF(F96='Key Values'!$B$77,'Hidden Lists and Summaries'!$C$157,VLOOKUP(iq_location,GaseousFuelEmbodiedEmissions[#All],IF(iq_metro="Yes",2,3),FALSE)),'Hidden Lists and Summaries'!$C$157))</f>
        <v>#N/A</v>
      </c>
      <c r="AB96" s="1333" t="e" cm="1">
        <f t="array" ref="AB96">_xlfn.IFS('Key Values'!$B$35=E96, VLOOKUP(H96,massConv[#All], 2, FALSE),
'Key Values'!$B$36=E96, IF(VLOOKUP(F96,'Key Values'!$B$101:$H$121,3,FALSE)="GJ/t", VLOOKUP(H96,massConv[#All], 2, FALSE), VLOOKUP(H96,volConv[#All], 2, FALSE)),
'Key Values'!$B$37=E96, VLOOKUP(H96,volConv[#All], 2, FALSE)) * G96</f>
        <v>#N/A</v>
      </c>
      <c r="AC96" s="1102"/>
      <c r="AD96" s="1079"/>
      <c r="AE96" s="1079"/>
      <c r="AF96" s="1080"/>
      <c r="AH96" s="1088"/>
      <c r="AI96" s="1079"/>
      <c r="AJ96" s="1079"/>
      <c r="AK96" s="1079"/>
      <c r="AL96" s="1079"/>
      <c r="AM96" s="1080"/>
    </row>
    <row r="97" spans="2:39" ht="15.65" customHeight="1" x14ac:dyDescent="0.25">
      <c r="B97" s="1095"/>
      <c r="C97" s="1113" t="s">
        <v>293</v>
      </c>
      <c r="D97" s="1096"/>
      <c r="E97" s="971"/>
      <c r="F97" s="972"/>
      <c r="G97" s="386"/>
      <c r="H97" s="380"/>
      <c r="I97" s="978"/>
      <c r="J97" s="979"/>
      <c r="K97" s="981"/>
      <c r="L97" s="1099"/>
      <c r="M97" s="1131"/>
      <c r="N97" s="1131">
        <f>IF(AND(E97="",F97="",G97="",H97="",I97="",J97="",K97=""),0,IFERROR(Z97*AA97*AB97,'Hidden Lists and Summaries'!$C$158))</f>
        <v>0</v>
      </c>
      <c r="O97" s="1131">
        <f>IF(AND(E97="",F97="",G97="",H97="",I97="",J97="",K97=""),0,IFERROR(Y97*Z97*AB97,'Hidden Lists and Summaries'!$C$158))</f>
        <v>0</v>
      </c>
      <c r="P97" s="1132" t="s">
        <v>90</v>
      </c>
      <c r="Q97" s="1099"/>
      <c r="Y97" s="1340" t="str">
        <f>IF(I97&lt;&gt;"",I97,
IF(E97="Solid Fuel",VLOOKUP(F97,'Key Values'!$B$40:$G$58,6,FALSE),
IF(E97="Gaseous Fuel", VLOOKUP(F97,'Key Values'!$B$71:$G$88,6,FALSE),
IF(E97="Liquid Fuel", VLOOKUP(F97,'Key Values'!$B$100:$H$120,7,FALSE),
'Hidden Lists and Summaries'!$C$157))))</f>
        <v>No default, please enter a bespoke value</v>
      </c>
      <c r="Z97" s="1079" t="e">
        <f>IF(J97&lt;&gt;"",J97,IF(E97="Solid Fuel",VLOOKUP(F97,'Key Values'!$B$40:$G$58,2,FALSE),
IF(E97="Gaseous Fuel",VLOOKUP(F97,'Key Values'!$B$71:$G$88,2,FALSE),
VLOOKUP(F97,'Key Values'!$B$100:$H$120,2,FALSE))))</f>
        <v>#N/A</v>
      </c>
      <c r="AA97" s="1234" t="e" cm="1">
        <f t="array" ref="AA97">_xlfn.IFS(K97&lt;&gt;"",K97,E97="Solid Fuel", VLOOKUP(F97,'Key Values'!$B$61:$C$68,2,FALSE),
E97="Liquid fuel",VLOOKUP(F97,'Key Values'!$B$123:$C$143,2,FALSE),
E97="Gaseous Fuel", IF(VLOOKUP(F97,GasFuel[#All],7,FALSE)=TRUE,IF(F97='Key Values'!$B$77,'Hidden Lists and Summaries'!$C$157,VLOOKUP(iq_location,GaseousFuelEmbodiedEmissions[#All],IF(iq_metro="Yes",2,3),FALSE)),'Hidden Lists and Summaries'!$C$157))</f>
        <v>#N/A</v>
      </c>
      <c r="AB97" s="1333" t="e" cm="1">
        <f t="array" ref="AB97">_xlfn.IFS('Key Values'!$B$35=E97, VLOOKUP(H97,massConv[#All], 2, FALSE),
'Key Values'!$B$36=E97, IF(VLOOKUP(F97,'Key Values'!$B$101:$H$121,3,FALSE)="GJ/t", VLOOKUP(H97,massConv[#All], 2, FALSE), VLOOKUP(H97,volConv[#All], 2, FALSE)),
'Key Values'!$B$37=E97, VLOOKUP(H97,volConv[#All], 2, FALSE)) * G97</f>
        <v>#N/A</v>
      </c>
      <c r="AC97" s="1079"/>
      <c r="AD97" s="1079"/>
      <c r="AE97" s="1079"/>
      <c r="AF97" s="1080"/>
      <c r="AH97" s="1088"/>
      <c r="AI97" s="1079"/>
      <c r="AJ97" s="1079"/>
      <c r="AK97" s="1079"/>
      <c r="AL97" s="1079"/>
      <c r="AM97" s="1080"/>
    </row>
    <row r="98" spans="2:39" ht="15.65" customHeight="1" x14ac:dyDescent="0.25">
      <c r="B98" s="1095"/>
      <c r="C98" s="1113" t="s">
        <v>294</v>
      </c>
      <c r="D98" s="1096"/>
      <c r="E98" s="971"/>
      <c r="F98" s="972"/>
      <c r="G98" s="387"/>
      <c r="H98" s="380"/>
      <c r="I98" s="982"/>
      <c r="J98" s="983"/>
      <c r="K98" s="981"/>
      <c r="L98" s="1099"/>
      <c r="M98" s="1131"/>
      <c r="N98" s="1131">
        <f>IF(AND(E98="",F98="",G98="",H98="",I98="",J98="",K98=""),0,IFERROR(Z98*AA98*AB98,'Hidden Lists and Summaries'!$C$158))</f>
        <v>0</v>
      </c>
      <c r="O98" s="1131">
        <f>IF(AND(E98="",F98="",G98="",H98="",I98="",J98="",K98=""),0,IFERROR(Y98*Z98*AB98,'Hidden Lists and Summaries'!$C$158))</f>
        <v>0</v>
      </c>
      <c r="P98" s="1132" t="s">
        <v>90</v>
      </c>
      <c r="Q98" s="1099"/>
      <c r="Y98" s="1340" t="str">
        <f>IF(I98&lt;&gt;"",I98,
IF(E98="Solid Fuel",VLOOKUP(F98,'Key Values'!$B$40:$G$58,6,FALSE),
IF(E98="Gaseous Fuel", VLOOKUP(F98,'Key Values'!$B$71:$G$88,6,FALSE),
IF(E98="Liquid Fuel", VLOOKUP(F98,'Key Values'!$B$100:$H$120,7,FALSE),
'Hidden Lists and Summaries'!$C$157))))</f>
        <v>No default, please enter a bespoke value</v>
      </c>
      <c r="Z98" s="1079" t="e">
        <f>IF(J98&lt;&gt;"",J98,IF(E98="Solid Fuel",VLOOKUP(F98,'Key Values'!$B$40:$G$58,2,FALSE),
IF(E98="Gaseous Fuel",VLOOKUP(F98,'Key Values'!$B$71:$G$88,2,FALSE),
VLOOKUP(F98,'Key Values'!$B$100:$H$120,2,FALSE))))</f>
        <v>#N/A</v>
      </c>
      <c r="AA98" s="1234" t="e" cm="1">
        <f t="array" ref="AA98">_xlfn.IFS(K98&lt;&gt;"",K98,E98="Solid Fuel", VLOOKUP(F98,'Key Values'!$B$61:$C$68,2,FALSE),
E98="Liquid fuel",VLOOKUP(F98,'Key Values'!$B$123:$C$143,2,FALSE),
E98="Gaseous Fuel", IF(VLOOKUP(F98,GasFuel[#All],7,FALSE)=TRUE,IF(F98='Key Values'!$B$77,'Hidden Lists and Summaries'!$C$157,VLOOKUP(iq_location,GaseousFuelEmbodiedEmissions[#All],IF(iq_metro="Yes",2,3),FALSE)),'Hidden Lists and Summaries'!$C$157))</f>
        <v>#N/A</v>
      </c>
      <c r="AB98" s="1333" t="e" cm="1">
        <f t="array" ref="AB98">_xlfn.IFS('Key Values'!$B$35=E98, VLOOKUP(H98,massConv[#All], 2, FALSE),
'Key Values'!$B$36=E98, IF(VLOOKUP(F98,'Key Values'!$B$101:$H$121,3,FALSE)="GJ/t", VLOOKUP(H98,massConv[#All], 2, FALSE), VLOOKUP(H98,volConv[#All], 2, FALSE)),
'Key Values'!$B$37=E98, VLOOKUP(H98,volConv[#All], 2, FALSE)) * G98</f>
        <v>#N/A</v>
      </c>
      <c r="AC98" s="1079"/>
      <c r="AD98" s="1079"/>
      <c r="AE98" s="1079"/>
      <c r="AF98" s="1080"/>
      <c r="AH98" s="1088"/>
      <c r="AI98" s="1079"/>
      <c r="AJ98" s="1079"/>
      <c r="AK98" s="1079"/>
      <c r="AL98" s="1079"/>
      <c r="AM98" s="1080"/>
    </row>
    <row r="99" spans="2:39" x14ac:dyDescent="0.25">
      <c r="B99" s="1095"/>
      <c r="C99" s="1113" t="s">
        <v>295</v>
      </c>
      <c r="D99" s="1096"/>
      <c r="E99" s="973"/>
      <c r="F99" s="974"/>
      <c r="G99" s="392"/>
      <c r="H99" s="396"/>
      <c r="I99" s="984"/>
      <c r="J99" s="985"/>
      <c r="K99" s="986"/>
      <c r="L99" s="1099"/>
      <c r="M99" s="1131"/>
      <c r="N99" s="1131">
        <f>IF(AND(E99="",F99="",G99="",H99="",I99="",J99="",K99=""),0,IFERROR(Z99*AA99*AB99,'Hidden Lists and Summaries'!$C$158))</f>
        <v>0</v>
      </c>
      <c r="O99" s="1131">
        <f>IF(AND(E99="",F99="",G99="",H99="",I99="",J99="",K99=""),0,IFERROR(Y99*Z99*AB99,'Hidden Lists and Summaries'!$C$158))</f>
        <v>0</v>
      </c>
      <c r="P99" s="1132" t="s">
        <v>90</v>
      </c>
      <c r="Q99" s="1099"/>
      <c r="Y99" s="1407" t="str">
        <f>IF(I99&lt;&gt;"",I99,
IF(E99="Solid Fuel",VLOOKUP(F99,'Key Values'!$B$40:$G$58,6,FALSE),
IF(E99="Gaseous Fuel", VLOOKUP(F99,'Key Values'!$B$71:$G$88,6,FALSE),
IF(E99="Liquid Fuel", VLOOKUP(F99,'Key Values'!$B$100:$H$120,7,FALSE),
'Hidden Lists and Summaries'!$C$157))))</f>
        <v>No default, please enter a bespoke value</v>
      </c>
      <c r="Z99" s="1142" t="e">
        <f>IF(J99&lt;&gt;"",J99,IF(E99="Solid Fuel",VLOOKUP(F99,'Key Values'!$B$40:$G$58,2,FALSE),
IF(E99="Gaseous Fuel",VLOOKUP(F99,'Key Values'!$B$71:$G$88,2,FALSE),
VLOOKUP(F99,'Key Values'!$B$100:$H$120,2,FALSE))))</f>
        <v>#N/A</v>
      </c>
      <c r="AA99" s="1237" t="e" cm="1">
        <f t="array" ref="AA99">_xlfn.IFS(K99&lt;&gt;"",K99,E99="Solid Fuel", VLOOKUP(F99,'Key Values'!$B$61:$C$68,2,FALSE),
E99="Liquid fuel",VLOOKUP(F99,'Key Values'!$B$123:$C$143,2,FALSE),
E99="Gaseous Fuel", IF(VLOOKUP(F99,GasFuel[#All],7,FALSE)=TRUE,IF(F99='Key Values'!$B$77,'Hidden Lists and Summaries'!$C$157,VLOOKUP(iq_location,GaseousFuelEmbodiedEmissions[#All],IF(iq_metro="Yes",2,3),FALSE)),'Hidden Lists and Summaries'!$C$157))</f>
        <v>#N/A</v>
      </c>
      <c r="AB99" s="1334" t="e" cm="1">
        <f t="array" ref="AB99">_xlfn.IFS('Key Values'!$B$35=E99, VLOOKUP(H99,massConv[#All], 2, FALSE),
'Key Values'!$B$36=E99, IF(VLOOKUP(F99,'Key Values'!$B$101:$H$121,3,FALSE)="GJ/t", VLOOKUP(H99,massConv[#All], 2, FALSE), VLOOKUP(H99,volConv[#All], 2, FALSE)),
'Key Values'!$B$37=E99, VLOOKUP(H99,volConv[#All], 2, FALSE)) * G99</f>
        <v>#N/A</v>
      </c>
      <c r="AC99" s="1079"/>
      <c r="AD99" s="1079"/>
      <c r="AE99" s="1079"/>
      <c r="AF99" s="1080"/>
      <c r="AH99" s="1088"/>
      <c r="AI99" s="1079"/>
      <c r="AJ99" s="1079"/>
      <c r="AK99" s="1079"/>
      <c r="AL99" s="1079"/>
      <c r="AM99" s="1080"/>
    </row>
    <row r="100" spans="2:39" ht="15.65" customHeight="1" x14ac:dyDescent="0.25">
      <c r="B100" s="1105"/>
      <c r="C100" s="1106"/>
      <c r="D100" s="1106"/>
      <c r="E100" s="1106"/>
      <c r="F100" s="1335"/>
      <c r="G100" s="1239"/>
      <c r="H100" s="1115"/>
      <c r="I100" s="1115"/>
      <c r="J100" s="1106"/>
      <c r="K100" s="1106"/>
      <c r="L100" s="1107"/>
      <c r="M100" s="1241" t="s">
        <v>120</v>
      </c>
      <c r="N100" s="1242">
        <f>SUM(N95:N99)</f>
        <v>0</v>
      </c>
      <c r="O100" s="1145">
        <f>SUM(O95:O99)</f>
        <v>0</v>
      </c>
      <c r="P100" s="1146" t="s">
        <v>90</v>
      </c>
      <c r="Q100" s="1107"/>
      <c r="Y100" s="1088"/>
      <c r="Z100" s="1079"/>
      <c r="AA100" s="1079"/>
      <c r="AB100" s="1138"/>
      <c r="AC100" s="1079"/>
      <c r="AD100" s="1079"/>
      <c r="AE100" s="1079"/>
      <c r="AF100" s="1080"/>
      <c r="AG100" s="1079"/>
      <c r="AH100" s="1088">
        <f>N100</f>
        <v>0</v>
      </c>
      <c r="AI100" s="1079">
        <f>O100</f>
        <v>0</v>
      </c>
      <c r="AJ100" s="1079" t="str">
        <f>'Hidden Lists and Summaries'!B5</f>
        <v>Embodied (Upstream)</v>
      </c>
      <c r="AK100" s="1079" t="str">
        <f>'Hidden Lists and Summaries'!B8</f>
        <v>Fuel Combustion</v>
      </c>
      <c r="AL100" s="1079" t="s">
        <v>243</v>
      </c>
      <c r="AM100" s="1080"/>
    </row>
    <row r="101" spans="2:39" ht="15.65" customHeight="1" x14ac:dyDescent="0.25">
      <c r="B101" s="1118"/>
      <c r="C101" s="1118"/>
      <c r="D101" s="1118"/>
      <c r="E101" s="1118"/>
      <c r="F101" s="1118"/>
      <c r="G101" s="1118"/>
      <c r="H101" s="1118"/>
      <c r="I101" s="1118"/>
      <c r="J101" s="1118"/>
      <c r="K101" s="1118"/>
      <c r="L101" s="1118"/>
      <c r="M101" s="1118"/>
      <c r="N101" s="1118"/>
      <c r="O101" s="1118"/>
      <c r="P101" s="1118"/>
      <c r="Q101" s="1118"/>
      <c r="Y101" s="1088"/>
      <c r="Z101" s="1079"/>
      <c r="AA101" s="1079"/>
      <c r="AB101" s="1079"/>
      <c r="AC101" s="1079"/>
      <c r="AD101" s="1079"/>
      <c r="AE101" s="1079"/>
      <c r="AF101" s="1080"/>
      <c r="AG101" s="1079"/>
      <c r="AH101" s="1088"/>
      <c r="AI101" s="1079"/>
      <c r="AJ101" s="1079"/>
      <c r="AK101" s="1079"/>
      <c r="AL101" s="1079"/>
      <c r="AM101" s="1080"/>
    </row>
    <row r="102" spans="2:39" ht="15.65" customHeight="1" x14ac:dyDescent="0.25">
      <c r="B102" s="1081"/>
      <c r="C102" s="1082"/>
      <c r="D102" s="1082"/>
      <c r="E102" s="1082"/>
      <c r="F102" s="1082"/>
      <c r="G102" s="1082"/>
      <c r="H102" s="1082"/>
      <c r="I102" s="1082"/>
      <c r="J102" s="1082"/>
      <c r="K102" s="1082"/>
      <c r="L102" s="1082"/>
      <c r="M102" s="1082"/>
      <c r="N102" s="1082"/>
      <c r="O102" s="1082"/>
      <c r="P102" s="1082"/>
      <c r="Q102" s="1083"/>
      <c r="Y102" s="1088"/>
      <c r="Z102" s="1079"/>
      <c r="AA102" s="1079"/>
      <c r="AB102" s="1079"/>
      <c r="AC102" s="1079"/>
      <c r="AD102" s="1079"/>
      <c r="AE102" s="1079"/>
      <c r="AF102" s="1080"/>
      <c r="AG102" s="1079"/>
      <c r="AH102" s="1088"/>
      <c r="AI102" s="1079"/>
      <c r="AJ102" s="1079"/>
      <c r="AK102" s="1079"/>
      <c r="AL102" s="1079"/>
      <c r="AM102" s="1080"/>
    </row>
    <row r="103" spans="2:39" ht="15.65" customHeight="1" x14ac:dyDescent="0.25">
      <c r="B103" s="1084"/>
      <c r="C103" s="1198" t="s">
        <v>296</v>
      </c>
      <c r="D103" s="1151"/>
      <c r="E103" s="1151"/>
      <c r="F103" s="1151"/>
      <c r="G103" s="1151"/>
      <c r="H103" s="1151"/>
      <c r="I103" s="1151"/>
      <c r="J103" s="1151"/>
      <c r="K103" s="1151"/>
      <c r="L103" s="1151"/>
      <c r="M103" s="1151"/>
      <c r="N103" s="1151"/>
      <c r="O103" s="1151"/>
      <c r="P103" s="1151"/>
      <c r="Q103" s="1087"/>
      <c r="Y103" s="1088"/>
      <c r="Z103" s="1079"/>
      <c r="AA103" s="1079"/>
      <c r="AB103" s="1079"/>
      <c r="AC103" s="1079"/>
      <c r="AD103" s="1079"/>
      <c r="AE103" s="1079"/>
      <c r="AF103" s="1080"/>
      <c r="AG103" s="1079"/>
      <c r="AH103" s="1088"/>
      <c r="AI103" s="1079"/>
      <c r="AJ103" s="1079"/>
      <c r="AK103" s="1079"/>
      <c r="AL103" s="1079"/>
      <c r="AM103" s="1080"/>
    </row>
    <row r="104" spans="2:39" ht="15.65" customHeight="1" x14ac:dyDescent="0.25">
      <c r="B104" s="1089"/>
      <c r="C104" s="1090"/>
      <c r="D104" s="1090"/>
      <c r="E104" s="1091" t="s">
        <v>297</v>
      </c>
      <c r="F104" s="1091" t="s">
        <v>298</v>
      </c>
      <c r="G104" s="1111" t="s">
        <v>299</v>
      </c>
      <c r="H104" s="1111" t="s">
        <v>184</v>
      </c>
      <c r="I104" s="1111"/>
      <c r="J104" s="1093"/>
      <c r="K104" s="1093"/>
      <c r="L104" s="1093"/>
      <c r="M104" s="1093"/>
      <c r="N104" s="1093"/>
      <c r="O104" s="1091" t="s">
        <v>82</v>
      </c>
      <c r="P104" s="1093"/>
      <c r="Q104" s="1112"/>
      <c r="Y104" s="1153" t="s">
        <v>300</v>
      </c>
      <c r="Z104" s="1154" t="s">
        <v>301</v>
      </c>
      <c r="AA104" s="1154" t="s">
        <v>516</v>
      </c>
      <c r="AB104" s="1122" t="s">
        <v>94</v>
      </c>
      <c r="AC104" s="1122" t="s">
        <v>303</v>
      </c>
      <c r="AD104" s="1079"/>
      <c r="AE104" s="1079"/>
      <c r="AF104" s="1080"/>
      <c r="AG104" s="1079"/>
      <c r="AH104" s="1088"/>
      <c r="AI104" s="1079"/>
      <c r="AJ104" s="1079"/>
      <c r="AK104" s="1079"/>
      <c r="AL104" s="1079"/>
      <c r="AM104" s="1080"/>
    </row>
    <row r="105" spans="2:39" ht="15.65" customHeight="1" x14ac:dyDescent="0.25">
      <c r="B105" s="1095"/>
      <c r="C105" s="1096"/>
      <c r="D105" s="1096"/>
      <c r="E105" s="1096"/>
      <c r="F105" s="1096"/>
      <c r="G105" s="1096"/>
      <c r="H105" s="1098"/>
      <c r="I105" s="1098"/>
      <c r="J105" s="1096"/>
      <c r="K105" s="1096"/>
      <c r="L105" s="1096"/>
      <c r="M105" s="1096"/>
      <c r="N105" s="1125"/>
      <c r="O105" s="1322" t="s">
        <v>847</v>
      </c>
      <c r="P105" s="1155"/>
      <c r="Q105" s="1099"/>
      <c r="Y105" s="1243"/>
      <c r="Z105" s="1157" t="s">
        <v>116</v>
      </c>
      <c r="AA105" s="1244"/>
      <c r="AB105" s="1122" t="s">
        <v>128</v>
      </c>
      <c r="AC105" s="1122"/>
      <c r="AD105" s="1079"/>
      <c r="AE105" s="1079"/>
      <c r="AF105" s="1080"/>
      <c r="AG105" s="1079"/>
      <c r="AH105" s="1088"/>
      <c r="AI105" s="1079"/>
      <c r="AJ105" s="1079"/>
      <c r="AK105" s="1079"/>
      <c r="AL105" s="1079"/>
      <c r="AM105" s="1080"/>
    </row>
    <row r="106" spans="2:39" ht="15.65" customHeight="1" x14ac:dyDescent="0.25">
      <c r="B106" s="1095"/>
      <c r="C106" s="1113" t="s">
        <v>305</v>
      </c>
      <c r="D106" s="1096"/>
      <c r="E106" s="987"/>
      <c r="F106" s="988"/>
      <c r="G106" s="358"/>
      <c r="H106" s="397"/>
      <c r="I106" s="1098"/>
      <c r="J106" s="1096"/>
      <c r="K106" s="1096"/>
      <c r="L106" s="1096"/>
      <c r="M106" s="1096"/>
      <c r="N106" s="1130"/>
      <c r="O106" s="1131">
        <f>IF(AND(E106="",F106="",G106="",H106=""),0,IFERROR(Z106*AC106,'Hidden Lists and Summaries'!$C$158))</f>
        <v>0</v>
      </c>
      <c r="P106" s="1132" t="s">
        <v>90</v>
      </c>
      <c r="Q106" s="1099"/>
      <c r="Y106" s="1147" t="e">
        <f>VLOOKUP(F106,CO2Equivalence[],2,FALSE)</f>
        <v>#N/A</v>
      </c>
      <c r="Z106" s="1148" t="e">
        <f>AB106*Y106</f>
        <v>#N/A</v>
      </c>
      <c r="AA106" s="1245" t="e">
        <f>IF(F106='Key Values'!$B$221,VLOOKUP('LOHC - Dehydrogenation'!E106,IndustrialProcessEmissions[],3,FALSE),VLOOKUP('LOHC - Dehydrogenation'!E106,IndustrialProcessEmissions[],2,FALSE))</f>
        <v>#N/A</v>
      </c>
      <c r="AB106" s="1135" t="e">
        <f>VLOOKUP(H106,massConv[#All], 3, FALSE)*G106</f>
        <v>#N/A</v>
      </c>
      <c r="AC106" s="1246" t="e">
        <f t="shared" ref="AC106:AC112" si="1">AA106*iq_batchDurationYears</f>
        <v>#N/A</v>
      </c>
      <c r="AD106" s="1079"/>
      <c r="AE106" s="1079"/>
      <c r="AF106" s="1080"/>
      <c r="AG106" s="1079"/>
      <c r="AH106" s="1088"/>
      <c r="AI106" s="1079"/>
      <c r="AJ106" s="1079"/>
      <c r="AK106" s="1079"/>
      <c r="AL106" s="1079"/>
      <c r="AM106" s="1080"/>
    </row>
    <row r="107" spans="2:39" ht="15.65" customHeight="1" x14ac:dyDescent="0.25">
      <c r="B107" s="1095"/>
      <c r="C107" s="1113" t="s">
        <v>306</v>
      </c>
      <c r="D107" s="1096"/>
      <c r="E107" s="989"/>
      <c r="F107" s="990"/>
      <c r="G107" s="398"/>
      <c r="H107" s="399"/>
      <c r="I107" s="1098"/>
      <c r="J107" s="1096"/>
      <c r="K107" s="1096"/>
      <c r="L107" s="1096"/>
      <c r="M107" s="1096"/>
      <c r="N107" s="1130"/>
      <c r="O107" s="1131">
        <f>IF(AND(E107="",F107="",G107="",H107=""),0,IFERROR(Z107*AC107,'Hidden Lists and Summaries'!$C$158))</f>
        <v>0</v>
      </c>
      <c r="P107" s="1132" t="s">
        <v>90</v>
      </c>
      <c r="Q107" s="1099"/>
      <c r="Y107" s="1088" t="e">
        <f>VLOOKUP(F107,CO2Equivalence[],2,FALSE)</f>
        <v>#N/A</v>
      </c>
      <c r="Z107" s="1079" t="e">
        <f t="shared" ref="Z107:Z112" si="2">AB107*Y107</f>
        <v>#N/A</v>
      </c>
      <c r="AA107" s="1247" t="e">
        <f>IF(F107='Key Values'!$B$221,VLOOKUP('LOHC - Dehydrogenation'!E107,IndustrialProcessEmissions[],3,FALSE),VLOOKUP('LOHC - Dehydrogenation'!E107,IndustrialProcessEmissions[],2,FALSE))</f>
        <v>#N/A</v>
      </c>
      <c r="AB107" s="1138" t="e">
        <f>VLOOKUP(H107,massConv[#All], 3, FALSE)*G107</f>
        <v>#N/A</v>
      </c>
      <c r="AC107" s="1248" t="e">
        <f t="shared" si="1"/>
        <v>#N/A</v>
      </c>
      <c r="AD107" s="1079"/>
      <c r="AE107" s="1079"/>
      <c r="AF107" s="1080"/>
      <c r="AG107" s="1079"/>
      <c r="AH107" s="1088"/>
      <c r="AI107" s="1079"/>
      <c r="AJ107" s="1079"/>
      <c r="AK107" s="1079"/>
      <c r="AL107" s="1079"/>
      <c r="AM107" s="1080"/>
    </row>
    <row r="108" spans="2:39" ht="15.65" customHeight="1" x14ac:dyDescent="0.25">
      <c r="B108" s="1095"/>
      <c r="C108" s="1113" t="s">
        <v>307</v>
      </c>
      <c r="D108" s="1096"/>
      <c r="E108" s="989"/>
      <c r="F108" s="990"/>
      <c r="G108" s="398"/>
      <c r="H108" s="399"/>
      <c r="I108" s="1098"/>
      <c r="J108" s="1096"/>
      <c r="K108" s="1096"/>
      <c r="L108" s="1096"/>
      <c r="M108" s="1096"/>
      <c r="N108" s="1130"/>
      <c r="O108" s="1131">
        <f>IF(AND(E108="",F108="",G108="",H108=""),0,IFERROR(Z108*AC108,'Hidden Lists and Summaries'!$C$158))</f>
        <v>0</v>
      </c>
      <c r="P108" s="1132" t="s">
        <v>90</v>
      </c>
      <c r="Q108" s="1099"/>
      <c r="Y108" s="1088" t="e">
        <f>VLOOKUP(F108,CO2Equivalence[],2,FALSE)</f>
        <v>#N/A</v>
      </c>
      <c r="Z108" s="1079" t="e">
        <f t="shared" si="2"/>
        <v>#N/A</v>
      </c>
      <c r="AA108" s="1247" t="e">
        <f>IF(F108='Key Values'!$B$221,VLOOKUP('LOHC - Dehydrogenation'!E108,IndustrialProcessEmissions[],3,FALSE),VLOOKUP('LOHC - Dehydrogenation'!E108,IndustrialProcessEmissions[],2,FALSE))</f>
        <v>#N/A</v>
      </c>
      <c r="AB108" s="1138" t="e">
        <f>VLOOKUP(H108,massConv[#All], 3, FALSE)*G108</f>
        <v>#N/A</v>
      </c>
      <c r="AC108" s="1248" t="e">
        <f t="shared" si="1"/>
        <v>#N/A</v>
      </c>
      <c r="AD108" s="1079"/>
      <c r="AE108" s="1079"/>
      <c r="AF108" s="1080"/>
      <c r="AG108" s="1079"/>
      <c r="AH108" s="1088"/>
      <c r="AI108" s="1079"/>
      <c r="AJ108" s="1079"/>
      <c r="AK108" s="1079"/>
      <c r="AL108" s="1079"/>
      <c r="AM108" s="1080"/>
    </row>
    <row r="109" spans="2:39" x14ac:dyDescent="0.25">
      <c r="B109" s="1095"/>
      <c r="C109" s="1113" t="s">
        <v>308</v>
      </c>
      <c r="D109" s="1096"/>
      <c r="E109" s="991"/>
      <c r="F109" s="990"/>
      <c r="G109" s="398"/>
      <c r="H109" s="399"/>
      <c r="I109" s="1098"/>
      <c r="J109" s="1096"/>
      <c r="K109" s="1096"/>
      <c r="L109" s="1096"/>
      <c r="M109" s="1096"/>
      <c r="N109" s="1130"/>
      <c r="O109" s="1131">
        <f>IF(AND(E109="",F109="",G109="",H109=""),0,IFERROR(Z109*AC109,'Hidden Lists and Summaries'!$C$158))</f>
        <v>0</v>
      </c>
      <c r="P109" s="1132" t="s">
        <v>90</v>
      </c>
      <c r="Q109" s="1099"/>
      <c r="Y109" s="1088" t="e">
        <f>VLOOKUP(F109,CO2Equivalence[],2,FALSE)</f>
        <v>#N/A</v>
      </c>
      <c r="Z109" s="1079" t="e">
        <f t="shared" si="2"/>
        <v>#N/A</v>
      </c>
      <c r="AA109" s="1247" t="e">
        <f>IF(F109='Key Values'!$B$221,VLOOKUP('LOHC - Dehydrogenation'!E109,IndustrialProcessEmissions[],3,FALSE),VLOOKUP('LOHC - Dehydrogenation'!E109,IndustrialProcessEmissions[],2,FALSE))</f>
        <v>#N/A</v>
      </c>
      <c r="AB109" s="1138" t="e">
        <f>VLOOKUP(H109,massConv[#All], 3, FALSE)*G109</f>
        <v>#N/A</v>
      </c>
      <c r="AC109" s="1248" t="e">
        <f t="shared" si="1"/>
        <v>#N/A</v>
      </c>
      <c r="AD109" s="1079"/>
      <c r="AE109" s="1079"/>
      <c r="AF109" s="1080"/>
      <c r="AG109" s="1079"/>
      <c r="AH109" s="1088"/>
      <c r="AI109" s="1079"/>
      <c r="AJ109" s="1079"/>
      <c r="AK109" s="1079"/>
      <c r="AL109" s="1079"/>
      <c r="AM109" s="1080"/>
    </row>
    <row r="110" spans="2:39" ht="15.65" customHeight="1" x14ac:dyDescent="0.25">
      <c r="B110" s="1095"/>
      <c r="C110" s="1113" t="s">
        <v>309</v>
      </c>
      <c r="D110" s="1096"/>
      <c r="E110" s="989"/>
      <c r="F110" s="990"/>
      <c r="G110" s="398"/>
      <c r="H110" s="399"/>
      <c r="I110" s="1098"/>
      <c r="J110" s="1096"/>
      <c r="K110" s="1096"/>
      <c r="L110" s="1096"/>
      <c r="M110" s="1096"/>
      <c r="N110" s="1130"/>
      <c r="O110" s="1131">
        <f>IF(AND(E110="",F110="",G110="",H110=""),0,IFERROR(Z110*AC110,'Hidden Lists and Summaries'!$C$158))</f>
        <v>0</v>
      </c>
      <c r="P110" s="1132" t="s">
        <v>90</v>
      </c>
      <c r="Q110" s="1099"/>
      <c r="Y110" s="1088" t="e">
        <f>VLOOKUP(F110,CO2Equivalence[],2,FALSE)</f>
        <v>#N/A</v>
      </c>
      <c r="Z110" s="1079" t="e">
        <f t="shared" si="2"/>
        <v>#N/A</v>
      </c>
      <c r="AA110" s="1247" t="e">
        <f>IF(F110='Key Values'!$B$221,VLOOKUP('LOHC - Dehydrogenation'!E110,IndustrialProcessEmissions[],3,FALSE),VLOOKUP('LOHC - Dehydrogenation'!E110,IndustrialProcessEmissions[],2,FALSE))</f>
        <v>#N/A</v>
      </c>
      <c r="AB110" s="1138" t="e">
        <f>VLOOKUP(H110,massConv[#All], 3, FALSE)*G110</f>
        <v>#N/A</v>
      </c>
      <c r="AC110" s="1248" t="e">
        <f t="shared" si="1"/>
        <v>#N/A</v>
      </c>
      <c r="AD110" s="1079"/>
      <c r="AE110" s="1079"/>
      <c r="AF110" s="1080"/>
      <c r="AG110" s="1079"/>
      <c r="AH110" s="1088"/>
      <c r="AI110" s="1079"/>
      <c r="AJ110" s="1079"/>
      <c r="AK110" s="1079"/>
      <c r="AL110" s="1079"/>
      <c r="AM110" s="1080"/>
    </row>
    <row r="111" spans="2:39" ht="15.65" customHeight="1" x14ac:dyDescent="0.25">
      <c r="B111" s="1095"/>
      <c r="C111" s="1113" t="s">
        <v>310</v>
      </c>
      <c r="D111" s="1096"/>
      <c r="E111" s="989"/>
      <c r="F111" s="990"/>
      <c r="G111" s="398"/>
      <c r="H111" s="399"/>
      <c r="I111" s="1098"/>
      <c r="J111" s="1096"/>
      <c r="K111" s="1096"/>
      <c r="L111" s="1096"/>
      <c r="M111" s="1096"/>
      <c r="N111" s="1130"/>
      <c r="O111" s="1131">
        <f>IF(AND(E111="",F111="",G111="",H111=""),0,IFERROR(Z111*AC111,'Hidden Lists and Summaries'!$C$158))</f>
        <v>0</v>
      </c>
      <c r="P111" s="1132" t="s">
        <v>90</v>
      </c>
      <c r="Q111" s="1099"/>
      <c r="Y111" s="1088" t="e">
        <f>VLOOKUP(F111,CO2Equivalence[],2,FALSE)</f>
        <v>#N/A</v>
      </c>
      <c r="Z111" s="1079" t="e">
        <f t="shared" si="2"/>
        <v>#N/A</v>
      </c>
      <c r="AA111" s="1247" t="e">
        <f>IF(F111='Key Values'!$B$221,VLOOKUP('LOHC - Dehydrogenation'!E111,IndustrialProcessEmissions[],3,FALSE),VLOOKUP('LOHC - Dehydrogenation'!E111,IndustrialProcessEmissions[],2,FALSE))</f>
        <v>#N/A</v>
      </c>
      <c r="AB111" s="1138" t="e">
        <f>VLOOKUP(H111,massConv[#All], 3, FALSE)*G111</f>
        <v>#N/A</v>
      </c>
      <c r="AC111" s="1248" t="e">
        <f t="shared" si="1"/>
        <v>#N/A</v>
      </c>
      <c r="AD111" s="1079"/>
      <c r="AE111" s="1079"/>
      <c r="AF111" s="1080"/>
      <c r="AG111" s="1079"/>
      <c r="AH111" s="1088"/>
      <c r="AI111" s="1079"/>
      <c r="AJ111" s="1079"/>
      <c r="AK111" s="1079"/>
      <c r="AL111" s="1079"/>
      <c r="AM111" s="1080"/>
    </row>
    <row r="112" spans="2:39" ht="15.65" customHeight="1" x14ac:dyDescent="0.25">
      <c r="B112" s="1095"/>
      <c r="C112" s="1113" t="s">
        <v>311</v>
      </c>
      <c r="D112" s="1096"/>
      <c r="E112" s="992"/>
      <c r="F112" s="993"/>
      <c r="G112" s="359"/>
      <c r="H112" s="400"/>
      <c r="I112" s="1098"/>
      <c r="J112" s="1096"/>
      <c r="K112" s="1096"/>
      <c r="L112" s="1096"/>
      <c r="M112" s="1096"/>
      <c r="N112" s="1130"/>
      <c r="O112" s="1131">
        <f>IF(AND(E112="",F112="",G112="",H112=""),0,IFERROR(Z112*AC112,'Hidden Lists and Summaries'!$C$158))</f>
        <v>0</v>
      </c>
      <c r="P112" s="1132" t="s">
        <v>90</v>
      </c>
      <c r="Q112" s="1099"/>
      <c r="Y112" s="1197" t="e">
        <f>VLOOKUP(F112,CO2Equivalence[],2,FALSE)</f>
        <v>#N/A</v>
      </c>
      <c r="Z112" s="1142" t="e">
        <f t="shared" si="2"/>
        <v>#N/A</v>
      </c>
      <c r="AA112" s="1249" t="e">
        <f>IF(F112='Key Values'!$B$221,VLOOKUP('LOHC - Dehydrogenation'!E112,IndustrialProcessEmissions[],3,FALSE),VLOOKUP('LOHC - Dehydrogenation'!E112,IndustrialProcessEmissions[],2,FALSE))</f>
        <v>#N/A</v>
      </c>
      <c r="AB112" s="1141" t="e">
        <f>VLOOKUP(H112,massConv[#All], 3, FALSE)*G112</f>
        <v>#N/A</v>
      </c>
      <c r="AC112" s="1250" t="e">
        <f t="shared" si="1"/>
        <v>#N/A</v>
      </c>
      <c r="AD112" s="1079"/>
      <c r="AE112" s="1079"/>
      <c r="AF112" s="1080"/>
      <c r="AG112" s="1079"/>
      <c r="AH112" s="1088"/>
      <c r="AI112" s="1079"/>
      <c r="AJ112" s="1079"/>
      <c r="AK112" s="1079"/>
      <c r="AL112" s="1079"/>
      <c r="AM112" s="1080"/>
    </row>
    <row r="113" spans="2:39" ht="15.65" customHeight="1" x14ac:dyDescent="0.25">
      <c r="B113" s="1105"/>
      <c r="C113" s="1106"/>
      <c r="D113" s="1106"/>
      <c r="E113" s="1106"/>
      <c r="F113" s="1106"/>
      <c r="G113" s="1106"/>
      <c r="H113" s="1115"/>
      <c r="I113" s="1115"/>
      <c r="J113" s="1106"/>
      <c r="K113" s="1106"/>
      <c r="L113" s="1106"/>
      <c r="M113" s="1106"/>
      <c r="N113" s="1144" t="s">
        <v>120</v>
      </c>
      <c r="O113" s="1145">
        <f>SUM(O106:O112)</f>
        <v>0</v>
      </c>
      <c r="P113" s="1146" t="s">
        <v>90</v>
      </c>
      <c r="Q113" s="1107"/>
      <c r="Y113" s="1088"/>
      <c r="Z113" s="1079"/>
      <c r="AA113" s="1079"/>
      <c r="AB113" s="1079"/>
      <c r="AC113" s="1079"/>
      <c r="AD113" s="1079"/>
      <c r="AE113" s="1079"/>
      <c r="AF113" s="1080"/>
      <c r="AG113" s="1079"/>
      <c r="AH113" s="1088"/>
      <c r="AI113" s="1079">
        <f>O113</f>
        <v>0</v>
      </c>
      <c r="AJ113" s="1079"/>
      <c r="AK113" s="1079" t="str">
        <f>'Hidden Lists and Summaries'!$B$9</f>
        <v>Industrial Process</v>
      </c>
      <c r="AL113" s="1079"/>
      <c r="AM113" s="1080"/>
    </row>
    <row r="114" spans="2:39" ht="15.65" customHeight="1" x14ac:dyDescent="0.25">
      <c r="B114" s="1118"/>
      <c r="C114" s="1118"/>
      <c r="D114" s="1118"/>
      <c r="E114" s="1118"/>
      <c r="F114" s="1118"/>
      <c r="G114" s="1118"/>
      <c r="H114" s="1118"/>
      <c r="I114" s="1118"/>
      <c r="J114" s="1118"/>
      <c r="K114" s="1118"/>
      <c r="L114" s="1118"/>
      <c r="M114" s="1118"/>
      <c r="N114" s="1118"/>
      <c r="O114" s="1118"/>
      <c r="P114" s="1118"/>
      <c r="Q114" s="1118"/>
      <c r="Y114" s="1088"/>
      <c r="Z114" s="1079"/>
      <c r="AA114" s="1079"/>
      <c r="AB114" s="1079"/>
      <c r="AC114" s="1079"/>
      <c r="AD114" s="1079"/>
      <c r="AE114" s="1079"/>
      <c r="AF114" s="1080"/>
      <c r="AG114" s="1080"/>
      <c r="AH114" s="1088"/>
      <c r="AI114" s="1079"/>
      <c r="AJ114" s="1079"/>
      <c r="AK114" s="1079"/>
      <c r="AL114" s="1079"/>
      <c r="AM114" s="1080"/>
    </row>
    <row r="115" spans="2:39" ht="15.65" customHeight="1" x14ac:dyDescent="0.25">
      <c r="B115" s="1081"/>
      <c r="C115" s="1082"/>
      <c r="D115" s="1082"/>
      <c r="E115" s="1082"/>
      <c r="F115" s="1082"/>
      <c r="G115" s="1082"/>
      <c r="H115" s="1082"/>
      <c r="I115" s="1082"/>
      <c r="J115" s="1082"/>
      <c r="K115" s="1082"/>
      <c r="L115" s="1082"/>
      <c r="M115" s="1082"/>
      <c r="N115" s="1082"/>
      <c r="O115" s="1082"/>
      <c r="P115" s="1082"/>
      <c r="Q115" s="1083"/>
      <c r="Y115" s="1088"/>
      <c r="Z115" s="1079"/>
      <c r="AA115" s="1079"/>
      <c r="AB115" s="1079"/>
      <c r="AC115" s="1079"/>
      <c r="AD115" s="1079"/>
      <c r="AE115" s="1079"/>
      <c r="AF115" s="1080"/>
      <c r="AG115" s="1080"/>
      <c r="AH115" s="1088"/>
      <c r="AI115" s="1079"/>
      <c r="AJ115" s="1079"/>
      <c r="AK115" s="1079"/>
      <c r="AL115" s="1079"/>
      <c r="AM115" s="1080"/>
    </row>
    <row r="116" spans="2:39" ht="15.65" customHeight="1" x14ac:dyDescent="0.25">
      <c r="B116" s="1084"/>
      <c r="C116" s="1109" t="s">
        <v>554</v>
      </c>
      <c r="D116" s="1086"/>
      <c r="E116" s="1086"/>
      <c r="F116" s="1086"/>
      <c r="G116" s="1086"/>
      <c r="H116" s="1086"/>
      <c r="I116" s="1086"/>
      <c r="J116" s="1086"/>
      <c r="K116" s="1086"/>
      <c r="L116" s="1086"/>
      <c r="M116" s="1086"/>
      <c r="N116" s="1086"/>
      <c r="O116" s="1086"/>
      <c r="P116" s="1086"/>
      <c r="Q116" s="1087"/>
      <c r="Y116" s="1121" t="s">
        <v>600</v>
      </c>
      <c r="Z116" s="1079"/>
      <c r="AA116" s="1079"/>
      <c r="AB116" s="1079"/>
      <c r="AC116" s="1079"/>
      <c r="AD116" s="1079"/>
      <c r="AE116" s="1079"/>
      <c r="AF116" s="1080"/>
      <c r="AG116" s="1080"/>
      <c r="AH116" s="1088"/>
      <c r="AI116" s="1079"/>
      <c r="AJ116" s="1079"/>
      <c r="AK116" s="1079"/>
      <c r="AL116" s="1079"/>
      <c r="AM116" s="1080"/>
    </row>
    <row r="117" spans="2:39" ht="15.65" customHeight="1" x14ac:dyDescent="0.25">
      <c r="B117" s="1089"/>
      <c r="C117" s="1090"/>
      <c r="D117" s="1090"/>
      <c r="E117" s="1091" t="s">
        <v>555</v>
      </c>
      <c r="F117" s="1091" t="s">
        <v>81</v>
      </c>
      <c r="G117" s="1093"/>
      <c r="H117" s="1111"/>
      <c r="I117" s="1111"/>
      <c r="J117" s="1093"/>
      <c r="K117" s="1093"/>
      <c r="L117" s="1093"/>
      <c r="M117" s="1093"/>
      <c r="N117" s="1093"/>
      <c r="O117" s="1091" t="s">
        <v>556</v>
      </c>
      <c r="P117" s="1093"/>
      <c r="Q117" s="1112"/>
      <c r="Y117" s="1355"/>
      <c r="Z117" s="1079"/>
      <c r="AA117" s="1079"/>
      <c r="AB117" s="1079"/>
      <c r="AC117" s="1079"/>
      <c r="AD117" s="1079"/>
      <c r="AE117" s="1079"/>
      <c r="AF117" s="1080"/>
      <c r="AG117" s="1080"/>
      <c r="AH117" s="1088"/>
      <c r="AI117" s="1079"/>
      <c r="AJ117" s="1079"/>
      <c r="AK117" s="1079"/>
      <c r="AL117" s="1079"/>
      <c r="AM117" s="1080"/>
    </row>
    <row r="118" spans="2:39" ht="15.65" customHeight="1" x14ac:dyDescent="0.25">
      <c r="B118" s="1095"/>
      <c r="C118" s="1096"/>
      <c r="D118" s="1096"/>
      <c r="E118" s="1096"/>
      <c r="F118" s="1096"/>
      <c r="G118" s="1096"/>
      <c r="H118" s="1098"/>
      <c r="I118" s="1098"/>
      <c r="J118" s="1096"/>
      <c r="K118" s="1096"/>
      <c r="L118" s="1096"/>
      <c r="M118" s="1096"/>
      <c r="N118" s="1096"/>
      <c r="O118" s="1096"/>
      <c r="P118" s="1096"/>
      <c r="Q118" s="1099"/>
      <c r="Y118" s="1356" t="s">
        <v>128</v>
      </c>
      <c r="Z118" s="1079"/>
      <c r="AA118" s="1079"/>
      <c r="AB118" s="1079"/>
      <c r="AC118" s="1079"/>
      <c r="AD118" s="1079"/>
      <c r="AE118" s="1079"/>
      <c r="AF118" s="1080"/>
      <c r="AG118" s="1080"/>
      <c r="AH118" s="1088"/>
      <c r="AI118" s="1079"/>
      <c r="AJ118" s="1079"/>
      <c r="AK118" s="1079"/>
      <c r="AL118" s="1079"/>
      <c r="AM118" s="1080"/>
    </row>
    <row r="119" spans="2:39" ht="15.65" customHeight="1" x14ac:dyDescent="0.25">
      <c r="B119" s="1095"/>
      <c r="C119" s="1096" t="s">
        <v>456</v>
      </c>
      <c r="D119" s="1096"/>
      <c r="E119" s="433"/>
      <c r="F119" s="1260" t="s">
        <v>183</v>
      </c>
      <c r="G119" s="1096"/>
      <c r="H119" s="1098"/>
      <c r="I119" s="1098"/>
      <c r="J119" s="1096"/>
      <c r="K119" s="1096"/>
      <c r="L119" s="1096"/>
      <c r="M119" s="1096"/>
      <c r="N119" s="1106"/>
      <c r="O119" s="1096"/>
      <c r="P119" s="1096"/>
      <c r="Q119" s="1099"/>
      <c r="Y119" s="1261">
        <f>VLOOKUP(F119,massConv[#All], 3, FALSE)*E119</f>
        <v>0</v>
      </c>
      <c r="Z119" s="1079"/>
      <c r="AA119" s="1079"/>
      <c r="AB119" s="1079"/>
      <c r="AC119" s="1079"/>
      <c r="AD119" s="1079"/>
      <c r="AE119" s="1079"/>
      <c r="AF119" s="1080"/>
      <c r="AG119" s="1080"/>
      <c r="AH119" s="1088"/>
      <c r="AI119" s="1079"/>
      <c r="AJ119" s="1079"/>
      <c r="AK119" s="1079"/>
      <c r="AL119" s="1079"/>
      <c r="AM119" s="1080"/>
    </row>
    <row r="120" spans="2:39" ht="15.65" customHeight="1" x14ac:dyDescent="0.25">
      <c r="B120" s="1095"/>
      <c r="C120" s="1096" t="s">
        <v>464</v>
      </c>
      <c r="D120" s="1096"/>
      <c r="E120" s="448"/>
      <c r="F120" s="1262" t="s">
        <v>183</v>
      </c>
      <c r="G120" s="1096"/>
      <c r="H120" s="1098"/>
      <c r="I120" s="1098"/>
      <c r="J120" s="1096"/>
      <c r="K120" s="1096"/>
      <c r="L120" s="1096"/>
      <c r="M120" s="1096"/>
      <c r="N120" s="1182" t="s">
        <v>325</v>
      </c>
      <c r="O120" s="1183">
        <f>-Y120</f>
        <v>0</v>
      </c>
      <c r="P120" s="1183" t="s">
        <v>90</v>
      </c>
      <c r="Q120" s="1277"/>
      <c r="Y120" s="1263">
        <f>IF(OR(Y119="",Y119=0),0,VLOOKUP(F120,massConv[#All], 3, FALSE)*E120)</f>
        <v>0</v>
      </c>
      <c r="Z120" s="1079"/>
      <c r="AA120" s="1079"/>
      <c r="AB120" s="1079"/>
      <c r="AC120" s="1079"/>
      <c r="AD120" s="1079"/>
      <c r="AE120" s="1079"/>
      <c r="AF120" s="1080"/>
      <c r="AG120" s="1080"/>
      <c r="AH120" s="1088"/>
      <c r="AI120" s="1079"/>
      <c r="AJ120" s="1079"/>
      <c r="AK120" s="1079"/>
      <c r="AL120" s="1079"/>
      <c r="AM120" s="1080"/>
    </row>
    <row r="121" spans="2:39" ht="15.65" customHeight="1" x14ac:dyDescent="0.25">
      <c r="B121" s="1095"/>
      <c r="C121" s="1113" t="s">
        <v>561</v>
      </c>
      <c r="D121" s="1096"/>
      <c r="E121" s="428"/>
      <c r="F121" s="1357" t="s">
        <v>183</v>
      </c>
      <c r="G121" s="1096"/>
      <c r="H121" s="1098"/>
      <c r="I121" s="1098"/>
      <c r="J121" s="1096"/>
      <c r="K121" s="1096"/>
      <c r="L121" s="1096"/>
      <c r="M121" s="1096"/>
      <c r="N121" s="1130" t="s">
        <v>373</v>
      </c>
      <c r="O121" s="1131">
        <f>Y121</f>
        <v>0</v>
      </c>
      <c r="P121" s="1132" t="s">
        <v>90</v>
      </c>
      <c r="Q121" s="1099"/>
      <c r="Y121" s="1263">
        <f>IF(OR(Y119="",Y119=0),0,VLOOKUP(F121,massConv[#All], 3, FALSE)*E121)</f>
        <v>0</v>
      </c>
      <c r="Z121" s="1079"/>
      <c r="AA121" s="1079"/>
      <c r="AB121" s="1079"/>
      <c r="AC121" s="1079"/>
      <c r="AD121" s="1079"/>
      <c r="AE121" s="1079"/>
      <c r="AF121" s="1080"/>
      <c r="AG121" s="1080"/>
      <c r="AH121" s="1088"/>
      <c r="AI121" s="1079"/>
      <c r="AJ121" s="1079"/>
      <c r="AK121" s="1079"/>
      <c r="AL121" s="1079"/>
      <c r="AM121" s="1080"/>
    </row>
    <row r="122" spans="2:39" ht="15.65" customHeight="1" x14ac:dyDescent="0.25">
      <c r="B122" s="1095"/>
      <c r="C122" s="1113" t="s">
        <v>563</v>
      </c>
      <c r="D122" s="1096"/>
      <c r="E122" s="384"/>
      <c r="F122" s="1264" t="s">
        <v>183</v>
      </c>
      <c r="G122" s="1096"/>
      <c r="H122" s="1098"/>
      <c r="I122" s="1098"/>
      <c r="J122" s="1096"/>
      <c r="K122" s="1096"/>
      <c r="L122" s="1096"/>
      <c r="M122" s="1096"/>
      <c r="N122" s="1130" t="s">
        <v>373</v>
      </c>
      <c r="O122" s="1131">
        <f>Y122</f>
        <v>0</v>
      </c>
      <c r="P122" s="1132" t="s">
        <v>90</v>
      </c>
      <c r="Q122" s="1099"/>
      <c r="Y122" s="1263">
        <f>IF(OR(Y119="",Y119=0),0,VLOOKUP(F122,massConv[#All], 3, FALSE)*E122)</f>
        <v>0</v>
      </c>
      <c r="Z122" s="1079"/>
      <c r="AA122" s="1079"/>
      <c r="AB122" s="1079"/>
      <c r="AC122" s="1079"/>
      <c r="AD122" s="1079"/>
      <c r="AE122" s="1079"/>
      <c r="AF122" s="1080"/>
      <c r="AG122" s="1080"/>
      <c r="AH122" s="1088"/>
      <c r="AI122" s="1079"/>
      <c r="AJ122" s="1079"/>
      <c r="AK122" s="1079"/>
      <c r="AL122" s="1079"/>
      <c r="AM122" s="1080"/>
    </row>
    <row r="123" spans="2:39" ht="15.65" customHeight="1" x14ac:dyDescent="0.25">
      <c r="B123" s="1095"/>
      <c r="C123" s="1113" t="s">
        <v>564</v>
      </c>
      <c r="D123" s="1096"/>
      <c r="E123" s="384"/>
      <c r="F123" s="1264" t="s">
        <v>183</v>
      </c>
      <c r="G123" s="1096"/>
      <c r="H123" s="1098"/>
      <c r="I123" s="1098"/>
      <c r="J123" s="1096"/>
      <c r="K123" s="1096"/>
      <c r="L123" s="1096"/>
      <c r="M123" s="1096"/>
      <c r="N123" s="1130" t="s">
        <v>903</v>
      </c>
      <c r="O123" s="1131">
        <f>Y123</f>
        <v>0</v>
      </c>
      <c r="P123" s="1132" t="s">
        <v>90</v>
      </c>
      <c r="Q123" s="1099"/>
      <c r="Y123" s="1263">
        <f>IF(OR(Y119="",Y119=0),0,VLOOKUP(F123,massConv[#All], 3, FALSE)*E123)</f>
        <v>0</v>
      </c>
      <c r="Z123" s="1079"/>
      <c r="AA123" s="1079"/>
      <c r="AB123" s="1079"/>
      <c r="AC123" s="1079"/>
      <c r="AD123" s="1079"/>
      <c r="AE123" s="1079"/>
      <c r="AF123" s="1080"/>
      <c r="AG123" s="1080"/>
      <c r="AH123" s="1088"/>
      <c r="AI123" s="1079"/>
      <c r="AJ123" s="1079"/>
      <c r="AK123" s="1079"/>
      <c r="AL123" s="1079"/>
      <c r="AM123" s="1080"/>
    </row>
    <row r="124" spans="2:39" ht="15.65" customHeight="1" x14ac:dyDescent="0.25">
      <c r="B124" s="1095"/>
      <c r="C124" s="1113" t="s">
        <v>932</v>
      </c>
      <c r="D124" s="1096"/>
      <c r="E124" s="390"/>
      <c r="F124" s="1265" t="s">
        <v>183</v>
      </c>
      <c r="G124" s="1096"/>
      <c r="H124" s="1098"/>
      <c r="I124" s="1098"/>
      <c r="J124" s="1096"/>
      <c r="K124" s="1096"/>
      <c r="L124" s="1096"/>
      <c r="M124" s="1096"/>
      <c r="N124" s="1130" t="s">
        <v>818</v>
      </c>
      <c r="O124" s="1131">
        <f>-Y124</f>
        <v>0</v>
      </c>
      <c r="P124" s="1132" t="s">
        <v>90</v>
      </c>
      <c r="Q124" s="1099"/>
      <c r="Y124" s="1266">
        <f>IF(OR(Y119="",Y119=0),0,VLOOKUP(F124,massConv[#All], 3, FALSE)*E124)</f>
        <v>0</v>
      </c>
      <c r="Z124" s="1079"/>
      <c r="AA124" s="1079"/>
      <c r="AB124" s="1079"/>
      <c r="AC124" s="1079"/>
      <c r="AD124" s="1079"/>
      <c r="AE124" s="1079"/>
      <c r="AF124" s="1080"/>
      <c r="AG124" s="1080"/>
      <c r="AH124" s="1088"/>
      <c r="AI124" s="1079"/>
      <c r="AJ124" s="1079"/>
      <c r="AK124" s="1079"/>
      <c r="AL124" s="1079"/>
      <c r="AM124" s="1080"/>
    </row>
    <row r="125" spans="2:39" ht="15.65" customHeight="1" x14ac:dyDescent="0.25">
      <c r="B125" s="1105"/>
      <c r="C125" s="1106"/>
      <c r="D125" s="1106"/>
      <c r="E125" s="1106"/>
      <c r="F125" s="1106"/>
      <c r="G125" s="1106"/>
      <c r="H125" s="1115"/>
      <c r="I125" s="1115"/>
      <c r="J125" s="1106"/>
      <c r="K125" s="1106"/>
      <c r="L125" s="1106"/>
      <c r="M125" s="1106"/>
      <c r="N125" s="1144" t="s">
        <v>120</v>
      </c>
      <c r="O125" s="1145">
        <f>SUM(O121:O123)</f>
        <v>0</v>
      </c>
      <c r="P125" s="1146" t="s">
        <v>90</v>
      </c>
      <c r="Q125" s="1107"/>
      <c r="Y125" s="1088"/>
      <c r="Z125" s="1079"/>
      <c r="AA125" s="1079"/>
      <c r="AB125" s="1079"/>
      <c r="AC125" s="1079"/>
      <c r="AD125" s="1079"/>
      <c r="AE125" s="1079"/>
      <c r="AF125" s="1080"/>
      <c r="AG125" s="1080"/>
      <c r="AH125" s="1088"/>
      <c r="AI125" s="1079"/>
      <c r="AJ125" s="1079"/>
      <c r="AK125" s="1079"/>
      <c r="AL125" s="1079"/>
      <c r="AM125" s="1080"/>
    </row>
    <row r="126" spans="2:39" s="1164" customFormat="1" ht="15.65" customHeight="1" x14ac:dyDescent="0.25">
      <c r="B126" s="1108"/>
      <c r="C126" s="1108"/>
      <c r="D126" s="1108"/>
      <c r="E126" s="1267"/>
      <c r="F126" s="1267"/>
      <c r="G126" s="1108"/>
      <c r="H126" s="1268"/>
      <c r="I126" s="1102"/>
      <c r="J126" s="1108"/>
      <c r="K126" s="1267"/>
      <c r="L126" s="1108"/>
      <c r="M126" s="1108"/>
      <c r="N126" s="1163"/>
      <c r="O126" s="1108"/>
      <c r="P126" s="1108"/>
      <c r="Q126" s="1108"/>
      <c r="Y126" s="1165"/>
      <c r="Z126" s="1102"/>
      <c r="AA126" s="1102"/>
      <c r="AB126" s="1102"/>
      <c r="AC126" s="1102"/>
      <c r="AD126" s="1102"/>
      <c r="AE126" s="1102"/>
      <c r="AF126" s="1166"/>
      <c r="AG126" s="1166"/>
      <c r="AH126" s="1165"/>
      <c r="AI126" s="1102"/>
      <c r="AJ126" s="1102"/>
      <c r="AK126" s="1102"/>
      <c r="AL126" s="1102"/>
      <c r="AM126" s="1166"/>
    </row>
    <row r="127" spans="2:39" s="1164" customFormat="1" ht="15.65" customHeight="1" x14ac:dyDescent="0.25">
      <c r="B127" s="1207"/>
      <c r="C127" s="1208"/>
      <c r="D127" s="1208"/>
      <c r="E127" s="1208"/>
      <c r="F127" s="1208"/>
      <c r="G127" s="1208"/>
      <c r="H127" s="1269"/>
      <c r="I127" s="1269"/>
      <c r="J127" s="1208"/>
      <c r="K127" s="1208"/>
      <c r="L127" s="1208"/>
      <c r="M127" s="1208"/>
      <c r="N127" s="1270"/>
      <c r="O127" s="1208"/>
      <c r="P127" s="1208"/>
      <c r="Q127" s="1209"/>
      <c r="Y127" s="1165"/>
      <c r="Z127" s="1102"/>
      <c r="AA127" s="1102"/>
      <c r="AB127" s="1102"/>
      <c r="AC127" s="1102"/>
      <c r="AD127" s="1102"/>
      <c r="AE127" s="1102"/>
      <c r="AF127" s="1166"/>
      <c r="AG127" s="1102"/>
      <c r="AH127" s="1165"/>
      <c r="AI127" s="1102"/>
      <c r="AJ127" s="1102"/>
      <c r="AK127" s="1102"/>
      <c r="AL127" s="1102"/>
      <c r="AM127" s="1166"/>
    </row>
    <row r="128" spans="2:39" s="1164" customFormat="1" ht="15.65" customHeight="1" x14ac:dyDescent="0.25">
      <c r="B128" s="1210"/>
      <c r="C128" s="1211" t="s">
        <v>312</v>
      </c>
      <c r="D128" s="1212"/>
      <c r="E128" s="1212"/>
      <c r="F128" s="1212"/>
      <c r="G128" s="1212"/>
      <c r="H128" s="1252"/>
      <c r="I128" s="1252"/>
      <c r="J128" s="1212"/>
      <c r="K128" s="1212"/>
      <c r="L128" s="1212"/>
      <c r="M128" s="1212"/>
      <c r="N128" s="1271"/>
      <c r="O128" s="1212"/>
      <c r="P128" s="1212"/>
      <c r="Q128" s="1213"/>
      <c r="Y128" s="1121" t="s">
        <v>94</v>
      </c>
      <c r="Z128" s="1102"/>
      <c r="AA128" s="1102"/>
      <c r="AB128" s="1102"/>
      <c r="AC128" s="1102"/>
      <c r="AD128" s="1102"/>
      <c r="AE128" s="1102"/>
      <c r="AF128" s="1166"/>
      <c r="AG128" s="1102"/>
      <c r="AH128" s="1165"/>
      <c r="AI128" s="1102"/>
      <c r="AJ128" s="1102"/>
      <c r="AK128" s="1102"/>
      <c r="AL128" s="1102"/>
      <c r="AM128" s="1166"/>
    </row>
    <row r="129" spans="2:39" s="1164" customFormat="1" ht="15.65" customHeight="1" x14ac:dyDescent="0.25">
      <c r="B129" s="1214"/>
      <c r="C129" s="1215"/>
      <c r="D129" s="1215"/>
      <c r="E129" s="1111" t="s">
        <v>313</v>
      </c>
      <c r="F129" s="1091" t="s">
        <v>314</v>
      </c>
      <c r="G129" s="1091" t="s">
        <v>315</v>
      </c>
      <c r="H129" s="1091" t="s">
        <v>316</v>
      </c>
      <c r="I129" s="1092"/>
      <c r="J129" s="1215"/>
      <c r="K129" s="1215"/>
      <c r="L129" s="1215"/>
      <c r="M129" s="1215"/>
      <c r="N129" s="1272"/>
      <c r="O129" s="1091" t="s">
        <v>82</v>
      </c>
      <c r="P129" s="1215"/>
      <c r="Q129" s="1216"/>
      <c r="Y129" s="1121" t="s">
        <v>128</v>
      </c>
      <c r="Z129" s="1102"/>
      <c r="AA129" s="1102"/>
      <c r="AB129" s="1102"/>
      <c r="AC129" s="1102"/>
      <c r="AD129" s="1102"/>
      <c r="AE129" s="1102"/>
      <c r="AF129" s="1166"/>
      <c r="AG129" s="1102"/>
      <c r="AH129" s="1165"/>
      <c r="AI129" s="1102"/>
      <c r="AJ129" s="1102"/>
      <c r="AK129" s="1102"/>
      <c r="AL129" s="1102"/>
      <c r="AM129" s="1166"/>
    </row>
    <row r="130" spans="2:39" s="1164" customFormat="1" ht="15.65" customHeight="1" x14ac:dyDescent="0.25">
      <c r="B130" s="1192"/>
      <c r="C130" s="1193"/>
      <c r="D130" s="1193"/>
      <c r="E130" s="1193"/>
      <c r="F130" s="1193"/>
      <c r="G130" s="1193"/>
      <c r="H130" s="1193"/>
      <c r="I130" s="1194"/>
      <c r="J130" s="1193"/>
      <c r="K130" s="1193"/>
      <c r="L130" s="1193"/>
      <c r="M130" s="1193"/>
      <c r="N130" s="1273"/>
      <c r="O130" s="1193"/>
      <c r="P130" s="1097"/>
      <c r="Q130" s="1195"/>
      <c r="Y130" s="1274"/>
      <c r="Z130" s="1102"/>
      <c r="AA130" s="1102"/>
      <c r="AB130" s="1102"/>
      <c r="AC130" s="1102"/>
      <c r="AD130" s="1102"/>
      <c r="AE130" s="1102"/>
      <c r="AF130" s="1166"/>
      <c r="AG130" s="1102"/>
      <c r="AH130" s="1165"/>
      <c r="AI130" s="1102"/>
      <c r="AJ130" s="1102"/>
      <c r="AK130" s="1102"/>
      <c r="AL130" s="1102"/>
      <c r="AM130" s="1166"/>
    </row>
    <row r="131" spans="2:39" s="1164" customFormat="1" ht="15.65" customHeight="1" x14ac:dyDescent="0.25">
      <c r="B131" s="1095"/>
      <c r="C131" s="1101" t="s">
        <v>317</v>
      </c>
      <c r="D131" s="1099"/>
      <c r="E131" s="401"/>
      <c r="F131" s="362"/>
      <c r="G131" s="362"/>
      <c r="H131" s="402"/>
      <c r="I131" s="1275"/>
      <c r="J131" s="1101"/>
      <c r="K131" s="1101"/>
      <c r="L131" s="1101"/>
      <c r="M131" s="1099"/>
      <c r="N131" s="1276" t="str">
        <f>IF(F131="","",F131)</f>
        <v/>
      </c>
      <c r="O131" s="1183">
        <f>IF(AND(F131="",G131="",H131=""),0,IFERROR(Y131,'Hidden Lists and Summaries'!$C$158))</f>
        <v>0</v>
      </c>
      <c r="P131" s="1131" t="s">
        <v>90</v>
      </c>
      <c r="Q131" s="1277"/>
      <c r="Y131" s="1167" t="e">
        <f>G131*VLOOKUP(H131,massConv[#All],3,FALSE)</f>
        <v>#N/A</v>
      </c>
      <c r="Z131" s="1102"/>
      <c r="AA131" s="1102"/>
      <c r="AB131" s="1102"/>
      <c r="AC131" s="1102"/>
      <c r="AD131" s="1102"/>
      <c r="AE131" s="1102"/>
      <c r="AF131" s="1166"/>
      <c r="AG131" s="1102"/>
      <c r="AH131" s="1165"/>
      <c r="AI131" s="1102">
        <f>O131</f>
        <v>0</v>
      </c>
      <c r="AJ131" s="1102"/>
      <c r="AK131" s="1102">
        <f>F131</f>
        <v>0</v>
      </c>
      <c r="AL131" s="1102"/>
      <c r="AM131" s="1166" t="str">
        <f>IF(AI131='Hidden Lists and Summaries'!$B$5,"Other","")</f>
        <v/>
      </c>
    </row>
    <row r="132" spans="2:39" s="1164" customFormat="1" ht="15.65" customHeight="1" x14ac:dyDescent="0.25">
      <c r="B132" s="1095"/>
      <c r="C132" s="1101" t="s">
        <v>318</v>
      </c>
      <c r="D132" s="1099"/>
      <c r="E132" s="403"/>
      <c r="F132" s="366"/>
      <c r="G132" s="404"/>
      <c r="H132" s="405"/>
      <c r="I132" s="1275"/>
      <c r="J132" s="1101"/>
      <c r="K132" s="1101"/>
      <c r="L132" s="1101"/>
      <c r="M132" s="1101"/>
      <c r="N132" s="1278" t="str">
        <f t="shared" ref="N132:N134" si="3">IF(F132="","",F132)</f>
        <v/>
      </c>
      <c r="O132" s="1131">
        <f>IF(AND(F132="",G132="",H132=""),0,IFERROR(Y132,'Hidden Lists and Summaries'!$C$158))</f>
        <v>0</v>
      </c>
      <c r="P132" s="1131" t="s">
        <v>90</v>
      </c>
      <c r="Q132" s="1277"/>
      <c r="Y132" s="1167" t="e">
        <f>G132*VLOOKUP(H132,massConv[#All],3,FALSE)</f>
        <v>#N/A</v>
      </c>
      <c r="Z132" s="1102"/>
      <c r="AA132" s="1102"/>
      <c r="AB132" s="1102"/>
      <c r="AC132" s="1102"/>
      <c r="AD132" s="1102"/>
      <c r="AE132" s="1102"/>
      <c r="AF132" s="1166"/>
      <c r="AG132" s="1102"/>
      <c r="AH132" s="1165"/>
      <c r="AI132" s="1102">
        <f>O132</f>
        <v>0</v>
      </c>
      <c r="AJ132" s="1102"/>
      <c r="AK132" s="1102">
        <f>F132</f>
        <v>0</v>
      </c>
      <c r="AL132" s="1102"/>
      <c r="AM132" s="1166" t="str">
        <f>IF(AI132='Hidden Lists and Summaries'!$B$5,"Other","")</f>
        <v/>
      </c>
    </row>
    <row r="133" spans="2:39" s="1164" customFormat="1" ht="15.65" customHeight="1" x14ac:dyDescent="0.25">
      <c r="B133" s="1095"/>
      <c r="C133" s="1101" t="s">
        <v>319</v>
      </c>
      <c r="D133" s="1101"/>
      <c r="E133" s="368"/>
      <c r="F133" s="366"/>
      <c r="G133" s="366"/>
      <c r="H133" s="406"/>
      <c r="I133" s="1275"/>
      <c r="J133" s="1101"/>
      <c r="K133" s="1101"/>
      <c r="L133" s="1101"/>
      <c r="M133" s="1099"/>
      <c r="N133" s="1279" t="str">
        <f t="shared" si="3"/>
        <v/>
      </c>
      <c r="O133" s="1131">
        <f>IF(AND(F133="",G133="",H133=""),0,IFERROR(Y133,'Hidden Lists and Summaries'!$C$158))</f>
        <v>0</v>
      </c>
      <c r="P133" s="1131" t="s">
        <v>90</v>
      </c>
      <c r="Q133" s="1277"/>
      <c r="Y133" s="1167" t="e">
        <f>G133*VLOOKUP(H133,massConv[#All],3,FALSE)</f>
        <v>#N/A</v>
      </c>
      <c r="Z133" s="1102"/>
      <c r="AA133" s="1102"/>
      <c r="AB133" s="1102"/>
      <c r="AC133" s="1102"/>
      <c r="AD133" s="1102"/>
      <c r="AE133" s="1102"/>
      <c r="AF133" s="1166"/>
      <c r="AG133" s="1102"/>
      <c r="AH133" s="1165"/>
      <c r="AI133" s="1102">
        <f>O133</f>
        <v>0</v>
      </c>
      <c r="AJ133" s="1102"/>
      <c r="AK133" s="1102">
        <f>F133</f>
        <v>0</v>
      </c>
      <c r="AL133" s="1102"/>
      <c r="AM133" s="1166" t="str">
        <f>IF(AI133='Hidden Lists and Summaries'!$B$5,"Other","")</f>
        <v/>
      </c>
    </row>
    <row r="134" spans="2:39" s="1164" customFormat="1" ht="15.65" customHeight="1" x14ac:dyDescent="0.25">
      <c r="B134" s="1095"/>
      <c r="C134" s="1101" t="s">
        <v>320</v>
      </c>
      <c r="D134" s="1101"/>
      <c r="E134" s="407"/>
      <c r="F134" s="408"/>
      <c r="G134" s="371"/>
      <c r="H134" s="409"/>
      <c r="I134" s="1275"/>
      <c r="J134" s="1101"/>
      <c r="K134" s="1101"/>
      <c r="L134" s="1101"/>
      <c r="M134" s="1101"/>
      <c r="N134" s="1278" t="str">
        <f t="shared" si="3"/>
        <v/>
      </c>
      <c r="O134" s="1358">
        <f>IF(AND(F134="",G134="",H134=""),0,IFERROR(Y134,'Hidden Lists and Summaries'!$C$158))</f>
        <v>0</v>
      </c>
      <c r="P134" s="1280" t="s">
        <v>90</v>
      </c>
      <c r="Q134" s="1277"/>
      <c r="Y134" s="1281" t="e">
        <f>G134*VLOOKUP(H134,massConv[#All],3,FALSE)</f>
        <v>#N/A</v>
      </c>
      <c r="Z134" s="1102"/>
      <c r="AA134" s="1102"/>
      <c r="AB134" s="1102"/>
      <c r="AC134" s="1102"/>
      <c r="AD134" s="1102"/>
      <c r="AE134" s="1102"/>
      <c r="AF134" s="1166"/>
      <c r="AG134" s="1102"/>
      <c r="AH134" s="1165"/>
      <c r="AI134" s="1102">
        <f>O134</f>
        <v>0</v>
      </c>
      <c r="AJ134" s="1102"/>
      <c r="AK134" s="1102">
        <f>F134</f>
        <v>0</v>
      </c>
      <c r="AL134" s="1102"/>
      <c r="AM134" s="1166" t="str">
        <f>IF(AI134='Hidden Lists and Summaries'!$B$5,"Other","")</f>
        <v/>
      </c>
    </row>
    <row r="135" spans="2:39" s="1164" customFormat="1" ht="15.65" customHeight="1" x14ac:dyDescent="0.25">
      <c r="B135" s="1105"/>
      <c r="C135" s="1106"/>
      <c r="D135" s="1106"/>
      <c r="E135" s="1097"/>
      <c r="F135" s="1097"/>
      <c r="G135" s="1106"/>
      <c r="H135" s="1284"/>
      <c r="I135" s="1284"/>
      <c r="J135" s="1106"/>
      <c r="K135" s="1106"/>
      <c r="L135" s="1106"/>
      <c r="M135" s="1106"/>
      <c r="N135" s="1285" t="s">
        <v>120</v>
      </c>
      <c r="O135" s="1286">
        <f>SUM(O131:O134)</f>
        <v>0</v>
      </c>
      <c r="P135" s="1287" t="s">
        <v>90</v>
      </c>
      <c r="Q135" s="1107"/>
      <c r="Y135" s="1165"/>
      <c r="Z135" s="1102"/>
      <c r="AA135" s="1102"/>
      <c r="AB135" s="1102"/>
      <c r="AC135" s="1102"/>
      <c r="AD135" s="1102"/>
      <c r="AE135" s="1102"/>
      <c r="AF135" s="1166"/>
      <c r="AG135" s="1102"/>
      <c r="AH135" s="1282"/>
      <c r="AI135" s="1236"/>
      <c r="AJ135" s="1236"/>
      <c r="AK135" s="1236"/>
      <c r="AL135" s="1236"/>
      <c r="AM135" s="1283"/>
    </row>
    <row r="136" spans="2:39" ht="15.65" customHeight="1" x14ac:dyDescent="0.25">
      <c r="B136" s="1118"/>
      <c r="C136" s="1118"/>
      <c r="D136" s="1118"/>
      <c r="E136" s="1118"/>
      <c r="F136" s="1118"/>
      <c r="G136" s="1118"/>
      <c r="H136" s="1118"/>
      <c r="I136" s="1118"/>
      <c r="J136" s="1118"/>
      <c r="K136" s="1118"/>
      <c r="L136" s="1118"/>
      <c r="M136" s="1118"/>
      <c r="N136" s="1118"/>
      <c r="O136" s="1465"/>
      <c r="P136" s="1465"/>
      <c r="Q136" s="1118"/>
      <c r="Y136" s="1088"/>
      <c r="Z136" s="1079"/>
      <c r="AA136" s="1079"/>
      <c r="AB136" s="1079"/>
      <c r="AC136" s="1079"/>
      <c r="AD136" s="1079"/>
      <c r="AE136" s="1079"/>
      <c r="AF136" s="1080"/>
    </row>
    <row r="137" spans="2:39" ht="15.65" customHeight="1" x14ac:dyDescent="0.25">
      <c r="B137" s="1081"/>
      <c r="C137" s="1082"/>
      <c r="D137" s="1082"/>
      <c r="E137" s="1082"/>
      <c r="F137" s="1082"/>
      <c r="G137" s="1082"/>
      <c r="H137" s="1082"/>
      <c r="I137" s="1082"/>
      <c r="J137" s="1082"/>
      <c r="K137" s="1082"/>
      <c r="L137" s="1082"/>
      <c r="M137" s="1082"/>
      <c r="N137" s="1082"/>
      <c r="O137" s="1082"/>
      <c r="P137" s="1082"/>
      <c r="Q137" s="1083"/>
      <c r="Y137" s="1088"/>
      <c r="Z137" s="1079"/>
      <c r="AA137" s="1079"/>
      <c r="AB137" s="1079"/>
      <c r="AC137" s="1079"/>
      <c r="AD137" s="1079"/>
      <c r="AE137" s="1079"/>
      <c r="AF137" s="1080"/>
    </row>
    <row r="138" spans="2:39" ht="15.65" customHeight="1" x14ac:dyDescent="0.25">
      <c r="B138" s="1084"/>
      <c r="C138" s="1109" t="s">
        <v>321</v>
      </c>
      <c r="D138" s="1086"/>
      <c r="E138" s="1086"/>
      <c r="F138" s="1086"/>
      <c r="G138" s="1086"/>
      <c r="H138" s="1086"/>
      <c r="I138" s="1086"/>
      <c r="J138" s="1086"/>
      <c r="K138" s="1086"/>
      <c r="L138" s="1086"/>
      <c r="M138" s="1086"/>
      <c r="N138" s="1086"/>
      <c r="O138" s="1086"/>
      <c r="P138" s="1086"/>
      <c r="Q138" s="1087"/>
      <c r="Y138" s="1088"/>
      <c r="Z138" s="1079"/>
      <c r="AA138" s="1079"/>
      <c r="AB138" s="1079"/>
      <c r="AC138" s="1079"/>
      <c r="AD138" s="1079"/>
      <c r="AE138" s="1079"/>
      <c r="AF138" s="1080"/>
    </row>
    <row r="139" spans="2:39" ht="15.65" customHeight="1" x14ac:dyDescent="0.25">
      <c r="B139" s="1089"/>
      <c r="C139" s="1090"/>
      <c r="D139" s="1090"/>
      <c r="E139" s="1091" t="s">
        <v>322</v>
      </c>
      <c r="F139" s="1091" t="s">
        <v>184</v>
      </c>
      <c r="G139" s="1093"/>
      <c r="H139" s="1111"/>
      <c r="I139" s="1111"/>
      <c r="J139" s="1093"/>
      <c r="K139" s="1093"/>
      <c r="L139" s="1093"/>
      <c r="M139" s="1093"/>
      <c r="N139" s="1093"/>
      <c r="O139" s="1091" t="s">
        <v>82</v>
      </c>
      <c r="P139" s="1093"/>
      <c r="Q139" s="1112"/>
      <c r="Y139" s="1153" t="s">
        <v>109</v>
      </c>
      <c r="Z139" s="1122" t="s">
        <v>324</v>
      </c>
      <c r="AA139" s="1079"/>
      <c r="AB139" s="1079"/>
      <c r="AC139" s="1079"/>
      <c r="AD139" s="1079"/>
      <c r="AE139" s="1079"/>
      <c r="AF139" s="1080"/>
    </row>
    <row r="140" spans="2:39" ht="15.65" customHeight="1" x14ac:dyDescent="0.25">
      <c r="B140" s="1095"/>
      <c r="C140" s="1096"/>
      <c r="D140" s="1096"/>
      <c r="E140" s="1096"/>
      <c r="F140" s="1096"/>
      <c r="G140" s="1096"/>
      <c r="H140" s="1098"/>
      <c r="I140" s="1098"/>
      <c r="J140" s="1096"/>
      <c r="K140" s="1096"/>
      <c r="L140" s="1096"/>
      <c r="M140" s="1096"/>
      <c r="N140" s="1288"/>
      <c r="O140" s="1126" t="s">
        <v>325</v>
      </c>
      <c r="P140" s="1155"/>
      <c r="Q140" s="1099"/>
      <c r="Y140" s="1468" t="s">
        <v>84</v>
      </c>
      <c r="Z140" s="1467" t="s">
        <v>326</v>
      </c>
      <c r="AA140" s="1079"/>
      <c r="AB140" s="1079"/>
      <c r="AC140" s="1079"/>
      <c r="AD140" s="1079"/>
      <c r="AE140" s="1079"/>
      <c r="AF140" s="1080"/>
    </row>
    <row r="141" spans="2:39" ht="15.65" customHeight="1" x14ac:dyDescent="0.25">
      <c r="B141" s="1095"/>
      <c r="C141" s="1113" t="s">
        <v>327</v>
      </c>
      <c r="D141" s="1096"/>
      <c r="E141" s="410"/>
      <c r="F141" s="1289" t="s">
        <v>415</v>
      </c>
      <c r="G141" s="1096"/>
      <c r="H141" s="1098"/>
      <c r="I141" s="1098"/>
      <c r="J141" s="1096"/>
      <c r="K141" s="1096"/>
      <c r="L141" s="1096"/>
      <c r="M141" s="1096"/>
      <c r="N141" s="1130"/>
      <c r="O141" s="1131">
        <f>IF(E141="",0,IFERROR(Y141*Z141,'Hidden Lists and Summaries'!$C$158))</f>
        <v>0</v>
      </c>
      <c r="P141" s="1132" t="s">
        <v>90</v>
      </c>
      <c r="Q141" s="1099"/>
      <c r="Y141" s="1367">
        <f>VLOOKUP(F141,EnergyConversionTable[#All], 3, FALSE)*E141</f>
        <v>0</v>
      </c>
      <c r="Z141" s="1143">
        <f>'Key Values'!$C$149</f>
        <v>0.95499999999999996</v>
      </c>
      <c r="AA141" s="1079"/>
      <c r="AB141" s="1079"/>
      <c r="AC141" s="1079"/>
      <c r="AD141" s="1079"/>
      <c r="AE141" s="1079"/>
      <c r="AF141" s="1080"/>
    </row>
    <row r="142" spans="2:39" ht="15.65" customHeight="1" x14ac:dyDescent="0.25">
      <c r="B142" s="1105"/>
      <c r="C142" s="1106"/>
      <c r="D142" s="1106"/>
      <c r="E142" s="1106"/>
      <c r="F142" s="1106"/>
      <c r="G142" s="1106"/>
      <c r="H142" s="1115"/>
      <c r="I142" s="1115"/>
      <c r="J142" s="1106"/>
      <c r="K142" s="1106"/>
      <c r="L142" s="1106"/>
      <c r="M142" s="1106"/>
      <c r="N142" s="1144" t="s">
        <v>120</v>
      </c>
      <c r="O142" s="1145">
        <f>SUM(O141:O141)</f>
        <v>0</v>
      </c>
      <c r="P142" s="1146" t="s">
        <v>90</v>
      </c>
      <c r="Q142" s="1107"/>
      <c r="Y142" s="1088"/>
      <c r="Z142" s="1079"/>
      <c r="AA142" s="1079"/>
      <c r="AB142" s="1079"/>
      <c r="AC142" s="1079"/>
      <c r="AD142" s="1079"/>
      <c r="AE142" s="1079"/>
      <c r="AF142" s="1080"/>
    </row>
    <row r="143" spans="2:39" ht="15.65" customHeight="1" x14ac:dyDescent="0.25">
      <c r="B143" s="1118"/>
      <c r="C143" s="1118"/>
      <c r="D143" s="1118"/>
      <c r="E143" s="1118"/>
      <c r="F143" s="1118"/>
      <c r="G143" s="1118"/>
      <c r="H143" s="1118"/>
      <c r="I143" s="1118"/>
      <c r="J143" s="1118"/>
      <c r="K143" s="1118"/>
      <c r="L143" s="1118"/>
      <c r="M143" s="1118"/>
      <c r="N143" s="1118"/>
      <c r="O143" s="1118"/>
      <c r="P143" s="1118"/>
      <c r="Q143" s="1118"/>
      <c r="Y143" s="1088"/>
      <c r="Z143" s="1079"/>
      <c r="AA143" s="1079"/>
      <c r="AB143" s="1079"/>
      <c r="AC143" s="1079"/>
      <c r="AD143" s="1079"/>
      <c r="AE143" s="1079"/>
      <c r="AF143" s="1080"/>
    </row>
    <row r="144" spans="2:39" ht="15.65" customHeight="1" x14ac:dyDescent="0.25">
      <c r="B144" s="1081"/>
      <c r="C144" s="1082"/>
      <c r="D144" s="1082"/>
      <c r="E144" s="1082"/>
      <c r="F144" s="1082"/>
      <c r="G144" s="1082"/>
      <c r="H144" s="1082"/>
      <c r="I144" s="1082"/>
      <c r="J144" s="1082"/>
      <c r="K144" s="1082"/>
      <c r="L144" s="1082"/>
      <c r="M144" s="1082"/>
      <c r="N144" s="1082"/>
      <c r="O144" s="1082"/>
      <c r="P144" s="1082"/>
      <c r="Q144" s="1083"/>
      <c r="Y144" s="1088"/>
      <c r="Z144" s="1079"/>
      <c r="AA144" s="1079"/>
      <c r="AB144" s="1079"/>
      <c r="AC144" s="1079"/>
      <c r="AD144" s="1079"/>
      <c r="AE144" s="1079"/>
      <c r="AF144" s="1080"/>
    </row>
    <row r="145" spans="2:32" ht="15.65" customHeight="1" x14ac:dyDescent="0.25">
      <c r="B145" s="1084"/>
      <c r="C145" s="1109" t="s">
        <v>328</v>
      </c>
      <c r="D145" s="1086"/>
      <c r="E145" s="1086"/>
      <c r="F145" s="1086"/>
      <c r="G145" s="1086"/>
      <c r="H145" s="1086"/>
      <c r="I145" s="1086"/>
      <c r="J145" s="1086"/>
      <c r="K145" s="1086"/>
      <c r="L145" s="1086"/>
      <c r="M145" s="1086"/>
      <c r="N145" s="1086"/>
      <c r="O145" s="1086"/>
      <c r="P145" s="1086"/>
      <c r="Q145" s="1087"/>
      <c r="Y145" s="1088"/>
      <c r="Z145" s="1079"/>
      <c r="AA145" s="1079"/>
      <c r="AB145" s="1079"/>
      <c r="AC145" s="1079"/>
      <c r="AD145" s="1079"/>
      <c r="AE145" s="1079"/>
      <c r="AF145" s="1080"/>
    </row>
    <row r="146" spans="2:32" ht="15.65" customHeight="1" x14ac:dyDescent="0.25">
      <c r="B146" s="1089"/>
      <c r="C146" s="1090"/>
      <c r="D146" s="1090"/>
      <c r="E146" s="1291" t="s">
        <v>133</v>
      </c>
      <c r="F146" s="1091" t="s">
        <v>329</v>
      </c>
      <c r="G146" s="1091" t="s">
        <v>184</v>
      </c>
      <c r="H146" s="1091" t="s">
        <v>263</v>
      </c>
      <c r="I146" s="1111"/>
      <c r="J146" s="1093"/>
      <c r="K146" s="1093"/>
      <c r="L146" s="1093"/>
      <c r="M146" s="1093"/>
      <c r="N146" s="1093"/>
      <c r="O146" s="1091" t="s">
        <v>82</v>
      </c>
      <c r="P146" s="1093"/>
      <c r="Q146" s="1112"/>
      <c r="Y146" s="1121" t="s">
        <v>77</v>
      </c>
      <c r="Z146" s="1154" t="s">
        <v>330</v>
      </c>
      <c r="AA146" s="1122" t="s">
        <v>331</v>
      </c>
      <c r="AB146" s="1122" t="s">
        <v>123</v>
      </c>
      <c r="AC146" s="1122" t="s">
        <v>264</v>
      </c>
      <c r="AD146" s="1122" t="s">
        <v>265</v>
      </c>
      <c r="AE146" s="1079"/>
      <c r="AF146" s="1080"/>
    </row>
    <row r="147" spans="2:32" ht="15.65" customHeight="1" x14ac:dyDescent="0.25">
      <c r="B147" s="1095"/>
      <c r="C147" s="1096"/>
      <c r="D147" s="1096"/>
      <c r="E147" s="1173"/>
      <c r="F147" s="1096"/>
      <c r="G147" s="1096"/>
      <c r="H147" s="1096"/>
      <c r="I147" s="1098"/>
      <c r="J147" s="1096"/>
      <c r="K147" s="1096"/>
      <c r="L147" s="1096"/>
      <c r="M147" s="1096"/>
      <c r="N147" s="1288"/>
      <c r="O147" s="1126" t="s">
        <v>325</v>
      </c>
      <c r="P147" s="1155"/>
      <c r="Q147" s="1099"/>
      <c r="Y147" s="1121" t="s">
        <v>273</v>
      </c>
      <c r="Z147" s="1157" t="s">
        <v>128</v>
      </c>
      <c r="AA147" s="1232" t="s">
        <v>128</v>
      </c>
      <c r="AB147" s="1121" t="s">
        <v>272</v>
      </c>
      <c r="AC147" s="1122" t="s">
        <v>270</v>
      </c>
      <c r="AD147" s="1122" t="s">
        <v>270</v>
      </c>
      <c r="AE147" s="1079"/>
      <c r="AF147" s="1080"/>
    </row>
    <row r="148" spans="2:32" ht="15.65" customHeight="1" x14ac:dyDescent="0.25">
      <c r="B148" s="1095"/>
      <c r="C148" s="1113" t="s">
        <v>332</v>
      </c>
      <c r="D148" s="1202"/>
      <c r="E148" s="411"/>
      <c r="F148" s="357"/>
      <c r="G148" s="412"/>
      <c r="H148" s="994"/>
      <c r="I148" s="1098"/>
      <c r="J148" s="1096"/>
      <c r="K148" s="1096"/>
      <c r="L148" s="1096"/>
      <c r="M148" s="1096"/>
      <c r="N148" s="1130"/>
      <c r="O148" s="1131">
        <f>IF(AND(E148="",F148="",G148="",H148=""),0,IFERROR(Y148*Z148,'Hidden Lists and Summaries'!$C$158))</f>
        <v>0</v>
      </c>
      <c r="P148" s="1132" t="s">
        <v>90</v>
      </c>
      <c r="Q148" s="1099"/>
      <c r="Y148" s="1293" t="e">
        <f>(AC148+AD148)*AB148</f>
        <v>#N/A</v>
      </c>
      <c r="Z148" s="1294" t="e">
        <f>VLOOKUP(G148,massConv[#All], 3, FALSE)*F148</f>
        <v>#N/A</v>
      </c>
      <c r="AA148" s="1294" t="e">
        <f>VLOOKUP(G148,massConv[#All], 3, FALSE)*E148</f>
        <v>#N/A</v>
      </c>
      <c r="AB148" s="1148" t="e">
        <f>VLOOKUP(H148,SteamProperties[#All],6,FALSE)</f>
        <v>#N/A</v>
      </c>
      <c r="AC148" s="1148">
        <f>'Key Values'!$C$209</f>
        <v>51.53</v>
      </c>
      <c r="AD148" s="1149">
        <f>IFERROR(VLOOKUP(iq_location,GaseousFuelEmbodiedEmissions[#All],IF(iq_metro,2,3),FALSE),0)</f>
        <v>0</v>
      </c>
      <c r="AE148" s="1079"/>
      <c r="AF148" s="1080"/>
    </row>
    <row r="149" spans="2:32" ht="15.65" customHeight="1" x14ac:dyDescent="0.25">
      <c r="B149" s="1095"/>
      <c r="C149" s="1113" t="s">
        <v>333</v>
      </c>
      <c r="D149" s="1202"/>
      <c r="E149" s="413"/>
      <c r="F149" s="398"/>
      <c r="G149" s="414"/>
      <c r="H149" s="995"/>
      <c r="I149" s="1098"/>
      <c r="J149" s="1096"/>
      <c r="K149" s="1096"/>
      <c r="L149" s="1096"/>
      <c r="M149" s="1096"/>
      <c r="N149" s="1130"/>
      <c r="O149" s="1131">
        <f>IF(AND(E149="",F149="",G149="",H149=""),0,IFERROR(Y149*Z149,'Hidden Lists and Summaries'!$C$158))</f>
        <v>0</v>
      </c>
      <c r="P149" s="1132" t="s">
        <v>90</v>
      </c>
      <c r="Q149" s="1099"/>
      <c r="Y149" s="1295" t="e">
        <f t="shared" ref="Y149:Y150" si="4">(AC149+AD149)*AB149</f>
        <v>#N/A</v>
      </c>
      <c r="Z149" s="1296" t="e">
        <f>VLOOKUP(G149,massConv[#All], 3, FALSE)*F149</f>
        <v>#N/A</v>
      </c>
      <c r="AA149" s="1296" t="e">
        <f>VLOOKUP(G149,massConv[#All], 3, FALSE)*E149</f>
        <v>#N/A</v>
      </c>
      <c r="AB149" s="1079" t="e">
        <f>VLOOKUP(H149,SteamProperties[#All],6,FALSE)</f>
        <v>#N/A</v>
      </c>
      <c r="AC149" s="1079">
        <f>'Key Values'!$C$209</f>
        <v>51.53</v>
      </c>
      <c r="AD149" s="1080">
        <f>IFERROR(VLOOKUP(iq_location,GaseousFuelEmbodiedEmissions[#All],IF(iq_metro,2,3),FALSE),0)</f>
        <v>0</v>
      </c>
      <c r="AE149" s="1079"/>
      <c r="AF149" s="1080"/>
    </row>
    <row r="150" spans="2:32" ht="15.65" customHeight="1" x14ac:dyDescent="0.25">
      <c r="B150" s="1095"/>
      <c r="C150" s="1113" t="s">
        <v>334</v>
      </c>
      <c r="D150" s="1202"/>
      <c r="E150" s="415"/>
      <c r="F150" s="360"/>
      <c r="G150" s="416"/>
      <c r="H150" s="996"/>
      <c r="I150" s="1098"/>
      <c r="J150" s="1096"/>
      <c r="K150" s="1096"/>
      <c r="L150" s="1096"/>
      <c r="M150" s="1096"/>
      <c r="N150" s="1130"/>
      <c r="O150" s="1139">
        <f>IF(AND(E150="",F150="",G150="",H150=""),0,IFERROR(Y150*Z150,'Hidden Lists and Summaries'!$C$158))</f>
        <v>0</v>
      </c>
      <c r="P150" s="1132" t="s">
        <v>90</v>
      </c>
      <c r="Q150" s="1099"/>
      <c r="Y150" s="1297" t="e">
        <f t="shared" si="4"/>
        <v>#N/A</v>
      </c>
      <c r="Z150" s="1298" t="e">
        <f>VLOOKUP(G150,massConv[#All], 3, FALSE)*F150</f>
        <v>#N/A</v>
      </c>
      <c r="AA150" s="1298" t="e">
        <f>VLOOKUP(G150,massConv[#All], 3, FALSE)*E150</f>
        <v>#N/A</v>
      </c>
      <c r="AB150" s="1142" t="e">
        <f>VLOOKUP(H150,SteamProperties[#All],6,FALSE)</f>
        <v>#N/A</v>
      </c>
      <c r="AC150" s="1142">
        <f>'Key Values'!$C$209</f>
        <v>51.53</v>
      </c>
      <c r="AD150" s="1143">
        <f>IFERROR(VLOOKUP(iq_location,GaseousFuelEmbodiedEmissions[#All],IF(iq_metro,2,3),FALSE),0)</f>
        <v>0</v>
      </c>
      <c r="AE150" s="1079"/>
      <c r="AF150" s="1080"/>
    </row>
    <row r="151" spans="2:32" ht="15.65" customHeight="1" x14ac:dyDescent="0.25">
      <c r="B151" s="1105"/>
      <c r="C151" s="1106"/>
      <c r="D151" s="1106"/>
      <c r="E151" s="1106"/>
      <c r="F151" s="1106"/>
      <c r="G151" s="1106"/>
      <c r="H151" s="1115"/>
      <c r="I151" s="1115"/>
      <c r="J151" s="1106"/>
      <c r="K151" s="1106"/>
      <c r="L151" s="1106"/>
      <c r="M151" s="1106"/>
      <c r="N151" s="1144" t="s">
        <v>120</v>
      </c>
      <c r="O151" s="1145">
        <f>SUM(O148:O150)</f>
        <v>0</v>
      </c>
      <c r="P151" s="1146" t="s">
        <v>90</v>
      </c>
      <c r="Q151" s="1107"/>
      <c r="Y151" s="1088"/>
      <c r="Z151" s="1079"/>
      <c r="AA151" s="1079"/>
      <c r="AB151" s="1079"/>
      <c r="AC151" s="1079"/>
      <c r="AD151" s="1079"/>
      <c r="AE151" s="1079"/>
      <c r="AF151" s="1080"/>
    </row>
    <row r="152" spans="2:32" ht="15.65" customHeight="1" x14ac:dyDescent="0.25">
      <c r="B152" s="1118"/>
      <c r="C152" s="1118"/>
      <c r="D152" s="1118"/>
      <c r="E152" s="1118"/>
      <c r="F152" s="1118"/>
      <c r="G152" s="1118"/>
      <c r="H152" s="1118"/>
      <c r="I152" s="1118"/>
      <c r="J152" s="1118"/>
      <c r="K152" s="1118"/>
      <c r="L152" s="1118"/>
      <c r="M152" s="1118"/>
      <c r="N152" s="1118"/>
      <c r="O152" s="1118"/>
      <c r="P152" s="1118"/>
      <c r="Q152" s="1118"/>
      <c r="Y152" s="1088"/>
      <c r="Z152" s="1079"/>
      <c r="AA152" s="1079"/>
      <c r="AB152" s="1079"/>
      <c r="AC152" s="1079"/>
      <c r="AD152" s="1079"/>
      <c r="AE152" s="1079"/>
      <c r="AF152" s="1080"/>
    </row>
    <row r="153" spans="2:32" ht="15.65" customHeight="1" x14ac:dyDescent="0.25">
      <c r="B153" s="1081"/>
      <c r="C153" s="1082"/>
      <c r="D153" s="1082"/>
      <c r="E153" s="1082"/>
      <c r="F153" s="1082"/>
      <c r="G153" s="1082"/>
      <c r="H153" s="1082"/>
      <c r="I153" s="1082"/>
      <c r="J153" s="1082"/>
      <c r="K153" s="1082"/>
      <c r="L153" s="1082"/>
      <c r="M153" s="1082"/>
      <c r="N153" s="1082"/>
      <c r="O153" s="1082"/>
      <c r="P153" s="1082"/>
      <c r="Q153" s="1083"/>
      <c r="Y153" s="1088"/>
      <c r="Z153" s="1079"/>
      <c r="AA153" s="1079"/>
      <c r="AB153" s="1079"/>
      <c r="AC153" s="1079"/>
      <c r="AD153" s="1079"/>
      <c r="AE153" s="1079"/>
      <c r="AF153" s="1080"/>
    </row>
    <row r="154" spans="2:32" ht="15.65" customHeight="1" x14ac:dyDescent="0.25">
      <c r="B154" s="1084"/>
      <c r="C154" s="1109" t="s">
        <v>933</v>
      </c>
      <c r="D154" s="1086"/>
      <c r="E154" s="1086"/>
      <c r="F154" s="1086"/>
      <c r="G154" s="1086"/>
      <c r="H154" s="1086"/>
      <c r="I154" s="1086"/>
      <c r="J154" s="1086"/>
      <c r="K154" s="1086"/>
      <c r="L154" s="1086"/>
      <c r="M154" s="1086"/>
      <c r="N154" s="1086"/>
      <c r="O154" s="1086"/>
      <c r="P154" s="1086"/>
      <c r="Q154" s="1087"/>
      <c r="Y154" s="1088"/>
      <c r="Z154" s="1079"/>
      <c r="AA154" s="1079"/>
      <c r="AB154" s="1079"/>
      <c r="AC154" s="1079"/>
      <c r="AD154" s="1079"/>
      <c r="AE154" s="1079"/>
      <c r="AF154" s="1080"/>
    </row>
    <row r="155" spans="2:32" ht="15.65" customHeight="1" x14ac:dyDescent="0.25">
      <c r="B155" s="1089"/>
      <c r="C155" s="1090"/>
      <c r="D155" s="1090"/>
      <c r="E155" s="1486" t="s">
        <v>336</v>
      </c>
      <c r="F155" s="1091" t="s">
        <v>337</v>
      </c>
      <c r="G155" s="1091" t="s">
        <v>184</v>
      </c>
      <c r="H155" s="1111"/>
      <c r="I155" s="1111"/>
      <c r="J155" s="1093"/>
      <c r="K155" s="1093"/>
      <c r="L155" s="1093"/>
      <c r="M155" s="1093"/>
      <c r="N155" s="1093"/>
      <c r="O155" s="1091" t="s">
        <v>82</v>
      </c>
      <c r="P155" s="1093"/>
      <c r="Q155" s="1112"/>
      <c r="Y155" s="1299" t="s">
        <v>338</v>
      </c>
      <c r="Z155" s="1122" t="s">
        <v>340</v>
      </c>
      <c r="AA155" s="1122" t="s">
        <v>77</v>
      </c>
      <c r="AB155"/>
      <c r="AC155" s="1079"/>
      <c r="AD155" s="1079"/>
      <c r="AE155" s="1079"/>
      <c r="AF155" s="1080"/>
    </row>
    <row r="156" spans="2:32" ht="15.65" customHeight="1" x14ac:dyDescent="0.25">
      <c r="B156" s="1095"/>
      <c r="C156" s="1096"/>
      <c r="D156" s="1096"/>
      <c r="E156" s="1487"/>
      <c r="F156" s="1096"/>
      <c r="G156" s="1096"/>
      <c r="H156" s="1098"/>
      <c r="I156" s="1098"/>
      <c r="J156" s="1096"/>
      <c r="K156" s="1096"/>
      <c r="L156" s="1096"/>
      <c r="M156" s="1096"/>
      <c r="N156" s="1288"/>
      <c r="O156" s="1126" t="s">
        <v>325</v>
      </c>
      <c r="P156" s="1155"/>
      <c r="Q156" s="1099"/>
      <c r="Y156" s="1156" t="s">
        <v>128</v>
      </c>
      <c r="Z156" s="1122" t="s">
        <v>128</v>
      </c>
      <c r="AA156" s="1122" t="s">
        <v>934</v>
      </c>
      <c r="AB156"/>
      <c r="AC156" s="1079"/>
      <c r="AD156" s="1079"/>
      <c r="AE156" s="1079"/>
      <c r="AF156" s="1080"/>
    </row>
    <row r="157" spans="2:32" ht="15.65" customHeight="1" x14ac:dyDescent="0.25">
      <c r="B157" s="1095"/>
      <c r="C157" s="1113" t="s">
        <v>935</v>
      </c>
      <c r="D157" s="1096"/>
      <c r="E157" s="614"/>
      <c r="F157" s="615"/>
      <c r="G157" s="617"/>
      <c r="H157" s="1098"/>
      <c r="I157" s="1098"/>
      <c r="J157" s="1096"/>
      <c r="K157" s="1096"/>
      <c r="L157" s="1096"/>
      <c r="M157" s="1096"/>
      <c r="N157" s="1130"/>
      <c r="O157" s="1131">
        <f>IF(AND(E157="",F157="",G157=""),0,IFERROR(Y157*AA157,'Hidden Lists and Summaries'!$C$158))</f>
        <v>0</v>
      </c>
      <c r="P157" s="1132" t="s">
        <v>90</v>
      </c>
      <c r="Q157" s="1099"/>
      <c r="Y157" s="1494" t="e">
        <f>VLOOKUP(G157,massConv[#All], 3, FALSE)*F157</f>
        <v>#N/A</v>
      </c>
      <c r="Z157" s="1495" t="e">
        <f>VLOOKUP(G157,massConv[#All], 3, FALSE)*E157</f>
        <v>#N/A</v>
      </c>
      <c r="AA157" s="1149">
        <f>VLOOKUP(C157,Table42[],2,FALSE)</f>
        <v>1.4996</v>
      </c>
      <c r="AB157"/>
      <c r="AC157" s="1079"/>
      <c r="AD157" s="1079"/>
      <c r="AE157" s="1079"/>
      <c r="AF157" s="1080"/>
    </row>
    <row r="158" spans="2:32" ht="15.65" customHeight="1" x14ac:dyDescent="0.25">
      <c r="B158" s="1095"/>
      <c r="C158" s="1113" t="s">
        <v>936</v>
      </c>
      <c r="D158" s="1096"/>
      <c r="E158" s="415"/>
      <c r="F158" s="359"/>
      <c r="G158" s="616"/>
      <c r="H158" s="1098"/>
      <c r="I158" s="1098"/>
      <c r="J158" s="1096"/>
      <c r="K158" s="1096"/>
      <c r="L158" s="1096"/>
      <c r="M158" s="1096"/>
      <c r="N158" s="1323"/>
      <c r="O158" s="1131">
        <f>IF(AND(E158="",F158="",G158=""),0,IFERROR(Y158*AA158,'Hidden Lists and Summaries'!$C$158))</f>
        <v>0</v>
      </c>
      <c r="P158" s="1324" t="s">
        <v>90</v>
      </c>
      <c r="Q158" s="1099"/>
      <c r="Y158" s="1367" t="e">
        <f>VLOOKUP(G158,massConv[#All], 3, FALSE)*F158</f>
        <v>#N/A</v>
      </c>
      <c r="Z158" s="1496" t="e">
        <f>VLOOKUP(G158,massConv[#All], 3, FALSE)*E158</f>
        <v>#N/A</v>
      </c>
      <c r="AA158" s="1143">
        <f>VLOOKUP(C158,Table42[],2,FALSE)</f>
        <v>3.7961</v>
      </c>
      <c r="AB158"/>
      <c r="AC158" s="1079"/>
      <c r="AD158" s="1079"/>
      <c r="AE158" s="1079"/>
      <c r="AF158" s="1080"/>
    </row>
    <row r="159" spans="2:32" ht="15.65" customHeight="1" x14ac:dyDescent="0.25">
      <c r="B159" s="1105"/>
      <c r="C159" s="1106"/>
      <c r="D159" s="1106"/>
      <c r="E159" s="1106"/>
      <c r="F159" s="1106"/>
      <c r="G159" s="1106"/>
      <c r="H159" s="1115"/>
      <c r="I159" s="1115"/>
      <c r="J159" s="1106"/>
      <c r="K159" s="1106"/>
      <c r="L159" s="1106"/>
      <c r="M159" s="1106"/>
      <c r="N159" s="1144" t="s">
        <v>120</v>
      </c>
      <c r="O159" s="1145">
        <f>SUM(O157)</f>
        <v>0</v>
      </c>
      <c r="P159" s="1146" t="s">
        <v>90</v>
      </c>
      <c r="Q159" s="1107"/>
      <c r="Y159" s="1088"/>
      <c r="Z159" s="1079"/>
      <c r="AA159" s="1079"/>
      <c r="AB159" s="1079"/>
      <c r="AC159" s="1079"/>
      <c r="AD159" s="1079"/>
      <c r="AE159" s="1079"/>
      <c r="AF159" s="1080"/>
    </row>
    <row r="160" spans="2:32" ht="15.65" customHeight="1" x14ac:dyDescent="0.25">
      <c r="B160" s="1118"/>
      <c r="C160" s="1118"/>
      <c r="D160" s="1118"/>
      <c r="E160" s="1118"/>
      <c r="F160" s="1118"/>
      <c r="G160" s="1118"/>
      <c r="H160" s="1118"/>
      <c r="I160" s="1118"/>
      <c r="J160" s="1118"/>
      <c r="K160" s="1118"/>
      <c r="L160" s="1118"/>
      <c r="M160" s="1118"/>
      <c r="N160" s="1118"/>
      <c r="O160" s="1118"/>
      <c r="P160" s="1118"/>
      <c r="Q160" s="1118"/>
      <c r="Y160" s="1088"/>
      <c r="Z160" s="1079"/>
      <c r="AA160" s="1079"/>
      <c r="AB160" s="1079"/>
      <c r="AC160" s="1079"/>
      <c r="AD160" s="1079"/>
      <c r="AE160" s="1079"/>
      <c r="AF160" s="1080"/>
    </row>
    <row r="161" spans="1:32" ht="15.65" customHeight="1" x14ac:dyDescent="0.25">
      <c r="B161" s="1081"/>
      <c r="C161" s="1082"/>
      <c r="D161" s="1082"/>
      <c r="E161" s="1082"/>
      <c r="F161" s="1082"/>
      <c r="G161" s="1082"/>
      <c r="H161" s="1082"/>
      <c r="I161" s="1082"/>
      <c r="J161" s="1082"/>
      <c r="K161" s="1082"/>
      <c r="L161" s="1082"/>
      <c r="M161" s="1082"/>
      <c r="N161" s="1082"/>
      <c r="O161" s="1082"/>
      <c r="P161" s="1082"/>
      <c r="Q161" s="1083"/>
      <c r="Y161" s="1088"/>
      <c r="Z161" s="1079"/>
      <c r="AA161" s="1079"/>
      <c r="AB161" s="1079"/>
      <c r="AC161" s="1079"/>
      <c r="AD161" s="1079"/>
      <c r="AE161" s="1079"/>
      <c r="AF161" s="1080"/>
    </row>
    <row r="162" spans="1:32" ht="15.65" customHeight="1" x14ac:dyDescent="0.25">
      <c r="B162" s="1084"/>
      <c r="C162" s="1109" t="s">
        <v>343</v>
      </c>
      <c r="D162" s="1086"/>
      <c r="E162" s="1086"/>
      <c r="F162" s="1086"/>
      <c r="G162" s="1086"/>
      <c r="H162" s="1086"/>
      <c r="I162" s="1086"/>
      <c r="J162" s="1086"/>
      <c r="K162" s="1086"/>
      <c r="L162" s="1086"/>
      <c r="M162" s="1086"/>
      <c r="N162" s="1086"/>
      <c r="O162" s="1086"/>
      <c r="P162" s="1086"/>
      <c r="Q162" s="1087"/>
      <c r="Y162" s="1088"/>
      <c r="Z162" s="1079"/>
      <c r="AA162" s="1079"/>
      <c r="AB162" s="1079"/>
      <c r="AC162" s="1079"/>
      <c r="AD162" s="1079"/>
      <c r="AE162" s="1079"/>
      <c r="AF162" s="1080"/>
    </row>
    <row r="163" spans="1:32" ht="15.65" customHeight="1" x14ac:dyDescent="0.25">
      <c r="B163" s="1089"/>
      <c r="C163" s="1090"/>
      <c r="D163" s="1090"/>
      <c r="E163" s="1291" t="s">
        <v>336</v>
      </c>
      <c r="F163" s="1091" t="s">
        <v>337</v>
      </c>
      <c r="G163" s="1091" t="s">
        <v>184</v>
      </c>
      <c r="H163" s="1091" t="s">
        <v>344</v>
      </c>
      <c r="I163" s="1111"/>
      <c r="J163" s="1093"/>
      <c r="K163" s="1093"/>
      <c r="L163" s="1093"/>
      <c r="M163" s="1093"/>
      <c r="N163" s="1093"/>
      <c r="O163" s="1091" t="s">
        <v>323</v>
      </c>
      <c r="P163" s="1093"/>
      <c r="Q163" s="1112"/>
      <c r="Y163" s="1299" t="s">
        <v>340</v>
      </c>
      <c r="Z163" s="1299" t="s">
        <v>338</v>
      </c>
      <c r="AA163" s="1299" t="s">
        <v>345</v>
      </c>
      <c r="AB163" s="1299" t="s">
        <v>346</v>
      </c>
      <c r="AC163" s="1079"/>
      <c r="AD163" s="1079"/>
      <c r="AE163" s="1079"/>
      <c r="AF163" s="1080"/>
    </row>
    <row r="164" spans="1:32" ht="15.65" customHeight="1" x14ac:dyDescent="0.25">
      <c r="B164" s="1095"/>
      <c r="C164" s="1096"/>
      <c r="D164" s="1096"/>
      <c r="E164" s="1173"/>
      <c r="F164" s="1096"/>
      <c r="G164" s="1096"/>
      <c r="H164" s="1096"/>
      <c r="I164" s="1098"/>
      <c r="J164" s="1096"/>
      <c r="K164" s="1096"/>
      <c r="L164" s="1096"/>
      <c r="M164" s="1096"/>
      <c r="N164" s="1288"/>
      <c r="O164" s="1126" t="s">
        <v>325</v>
      </c>
      <c r="P164" s="1155"/>
      <c r="Q164" s="1099"/>
      <c r="Y164" s="1156" t="s">
        <v>347</v>
      </c>
      <c r="Z164" s="1156" t="s">
        <v>347</v>
      </c>
      <c r="AA164" s="1156"/>
      <c r="AB164" s="1156" t="s">
        <v>116</v>
      </c>
      <c r="AC164" s="1079"/>
      <c r="AD164" s="1079"/>
      <c r="AE164" s="1079"/>
      <c r="AF164" s="1080"/>
    </row>
    <row r="165" spans="1:32" ht="15.65" customHeight="1" x14ac:dyDescent="0.25">
      <c r="B165" s="1095"/>
      <c r="C165" s="469" t="s">
        <v>348</v>
      </c>
      <c r="D165" s="1202"/>
      <c r="E165" s="411"/>
      <c r="F165" s="357"/>
      <c r="G165" s="363"/>
      <c r="H165" s="927"/>
      <c r="I165" s="1098"/>
      <c r="J165" s="1096"/>
      <c r="K165" s="1096"/>
      <c r="L165" s="1096"/>
      <c r="M165" s="1096"/>
      <c r="N165" s="1130"/>
      <c r="O165" s="1131">
        <f>IFERROR(AB165,'Hidden Lists and Summaries'!$C$158)</f>
        <v>0</v>
      </c>
      <c r="P165" s="1132" t="s">
        <v>90</v>
      </c>
      <c r="Q165" s="1099"/>
      <c r="Y165" s="1147">
        <f>$E165</f>
        <v>0</v>
      </c>
      <c r="Z165" s="1148">
        <f>$F165</f>
        <v>0</v>
      </c>
      <c r="AA165" s="1148">
        <f>$G165</f>
        <v>0</v>
      </c>
      <c r="AB165" s="1149">
        <f>$H165</f>
        <v>0</v>
      </c>
      <c r="AC165" s="1079"/>
      <c r="AD165" s="1079"/>
      <c r="AE165" s="1079"/>
      <c r="AF165" s="1080"/>
    </row>
    <row r="166" spans="1:32" ht="15.65" customHeight="1" x14ac:dyDescent="0.25">
      <c r="B166" s="1095"/>
      <c r="C166" s="1068" t="s">
        <v>349</v>
      </c>
      <c r="D166" s="1202"/>
      <c r="E166" s="413"/>
      <c r="F166" s="398"/>
      <c r="G166" s="366"/>
      <c r="H166" s="928"/>
      <c r="I166" s="1098"/>
      <c r="J166" s="1096"/>
      <c r="K166" s="1096"/>
      <c r="L166" s="1096"/>
      <c r="M166" s="1096"/>
      <c r="N166" s="1130"/>
      <c r="O166" s="1131">
        <f>IFERROR(AB166,'Hidden Lists and Summaries'!$C$158)</f>
        <v>0</v>
      </c>
      <c r="P166" s="1132" t="s">
        <v>90</v>
      </c>
      <c r="Q166" s="1099"/>
      <c r="Y166" s="1088">
        <f t="shared" ref="Y166:Y167" si="5">$E166</f>
        <v>0</v>
      </c>
      <c r="Z166" s="1079">
        <f t="shared" ref="Z166:Z167" si="6">$F166</f>
        <v>0</v>
      </c>
      <c r="AA166" s="1079">
        <f t="shared" ref="AA166:AA167" si="7">$G166</f>
        <v>0</v>
      </c>
      <c r="AB166" s="1080">
        <f t="shared" ref="AB166:AB167" si="8">$H166</f>
        <v>0</v>
      </c>
      <c r="AC166" s="1079"/>
      <c r="AD166" s="1079"/>
      <c r="AE166" s="1079"/>
      <c r="AF166" s="1080"/>
    </row>
    <row r="167" spans="1:32" ht="15.65" customHeight="1" x14ac:dyDescent="0.25">
      <c r="B167" s="1095"/>
      <c r="C167" s="470" t="s">
        <v>350</v>
      </c>
      <c r="D167" s="1202"/>
      <c r="E167" s="415"/>
      <c r="F167" s="360"/>
      <c r="G167" s="442"/>
      <c r="H167" s="929"/>
      <c r="I167" s="1098"/>
      <c r="J167" s="1096"/>
      <c r="K167" s="1096"/>
      <c r="L167" s="1096"/>
      <c r="M167" s="1096"/>
      <c r="N167" s="1130"/>
      <c r="O167" s="1139">
        <f>IFERROR(AB167,'Hidden Lists and Summaries'!$C$158)</f>
        <v>0</v>
      </c>
      <c r="P167" s="1132" t="s">
        <v>90</v>
      </c>
      <c r="Q167" s="1099"/>
      <c r="Y167" s="1197">
        <f t="shared" si="5"/>
        <v>0</v>
      </c>
      <c r="Z167" s="1142">
        <f t="shared" si="6"/>
        <v>0</v>
      </c>
      <c r="AA167" s="1142">
        <f t="shared" si="7"/>
        <v>0</v>
      </c>
      <c r="AB167" s="1143">
        <f t="shared" si="8"/>
        <v>0</v>
      </c>
      <c r="AC167" s="1079"/>
      <c r="AD167" s="1079"/>
      <c r="AE167" s="1079"/>
      <c r="AF167" s="1080"/>
    </row>
    <row r="168" spans="1:32" ht="15.65" customHeight="1" x14ac:dyDescent="0.25">
      <c r="B168" s="1105"/>
      <c r="C168" s="1106"/>
      <c r="D168" s="1106"/>
      <c r="E168" s="1106"/>
      <c r="F168" s="1106"/>
      <c r="G168" s="1097"/>
      <c r="H168" s="1115"/>
      <c r="I168" s="1115"/>
      <c r="J168" s="1106"/>
      <c r="K168" s="1106"/>
      <c r="L168" s="1106"/>
      <c r="M168" s="1106"/>
      <c r="N168" s="1144" t="s">
        <v>120</v>
      </c>
      <c r="O168" s="1145">
        <f>SUM(O165:O167)</f>
        <v>0</v>
      </c>
      <c r="P168" s="1146" t="s">
        <v>90</v>
      </c>
      <c r="Q168" s="1107"/>
      <c r="Y168" s="1088"/>
      <c r="Z168" s="1079"/>
      <c r="AA168" s="1079"/>
      <c r="AB168" s="1079"/>
      <c r="AC168" s="1079"/>
      <c r="AD168" s="1079"/>
      <c r="AE168" s="1079"/>
      <c r="AF168" s="1080"/>
    </row>
    <row r="169" spans="1:32" s="1164" customFormat="1" ht="15.65" customHeight="1" x14ac:dyDescent="0.25">
      <c r="B169" s="1108"/>
      <c r="C169" s="1108"/>
      <c r="D169" s="1108"/>
      <c r="E169" s="1108"/>
      <c r="F169" s="1108"/>
      <c r="G169" s="1108"/>
      <c r="H169" s="1102"/>
      <c r="I169" s="1102"/>
      <c r="J169" s="1108"/>
      <c r="K169" s="1108"/>
      <c r="L169" s="1108"/>
      <c r="M169" s="1108"/>
      <c r="N169" s="1163"/>
      <c r="O169" s="1108"/>
      <c r="P169" s="1108"/>
      <c r="Q169" s="1108"/>
      <c r="Y169" s="1165"/>
      <c r="Z169" s="1102"/>
      <c r="AA169" s="1102"/>
      <c r="AB169" s="1102"/>
      <c r="AC169" s="1102"/>
      <c r="AD169" s="1102"/>
      <c r="AE169" s="1102"/>
      <c r="AF169" s="1166"/>
    </row>
    <row r="170" spans="1:32" ht="15.65" customHeight="1" x14ac:dyDescent="0.25">
      <c r="A170" s="1164"/>
      <c r="B170" s="1081"/>
      <c r="C170" s="1082"/>
      <c r="D170" s="1082"/>
      <c r="E170" s="1082"/>
      <c r="F170" s="1082"/>
      <c r="G170" s="1082"/>
      <c r="H170" s="1082"/>
      <c r="I170" s="1082"/>
      <c r="J170" s="1082"/>
      <c r="K170" s="1082"/>
      <c r="L170" s="1082"/>
      <c r="M170" s="1082"/>
      <c r="N170" s="1082"/>
      <c r="O170" s="1082"/>
      <c r="P170" s="1082"/>
      <c r="Q170" s="1083"/>
      <c r="Y170" s="1088"/>
      <c r="Z170" s="1079"/>
      <c r="AA170" s="1079"/>
      <c r="AB170" s="1079"/>
      <c r="AC170" s="1079"/>
      <c r="AD170" s="1079"/>
      <c r="AE170" s="1079"/>
      <c r="AF170" s="1080"/>
    </row>
    <row r="171" spans="1:32" ht="15.65" customHeight="1" x14ac:dyDescent="0.25">
      <c r="A171" s="1164"/>
      <c r="B171" s="1084"/>
      <c r="C171" s="1198" t="s">
        <v>351</v>
      </c>
      <c r="D171" s="1151"/>
      <c r="E171" s="1151"/>
      <c r="F171" s="1151"/>
      <c r="G171" s="1151"/>
      <c r="H171" s="1151"/>
      <c r="I171" s="1151"/>
      <c r="J171" s="1151"/>
      <c r="K171" s="1151"/>
      <c r="L171" s="1151"/>
      <c r="M171" s="1151"/>
      <c r="N171" s="1151"/>
      <c r="O171" s="1151"/>
      <c r="P171" s="1151"/>
      <c r="Q171" s="1087"/>
      <c r="Y171" s="1088"/>
      <c r="Z171" s="1079"/>
      <c r="AA171" s="1079"/>
      <c r="AB171" s="1079"/>
      <c r="AC171" s="1079"/>
      <c r="AD171" s="1079"/>
      <c r="AE171" s="1079"/>
      <c r="AF171" s="1080"/>
    </row>
    <row r="172" spans="1:32" ht="15.65" customHeight="1" x14ac:dyDescent="0.25">
      <c r="A172" s="1164"/>
      <c r="B172" s="1089"/>
      <c r="C172" s="1090"/>
      <c r="D172" s="1090"/>
      <c r="E172" s="1091" t="s">
        <v>352</v>
      </c>
      <c r="F172" s="1091" t="s">
        <v>353</v>
      </c>
      <c r="G172" s="1091" t="s">
        <v>184</v>
      </c>
      <c r="H172" s="1111"/>
      <c r="I172" s="1111"/>
      <c r="J172" s="1093"/>
      <c r="K172" s="1093"/>
      <c r="L172" s="1093"/>
      <c r="M172" s="1093"/>
      <c r="N172" s="1093"/>
      <c r="O172" s="1091" t="s">
        <v>323</v>
      </c>
      <c r="P172" s="1093"/>
      <c r="Q172" s="1112"/>
      <c r="Y172" s="1088"/>
      <c r="Z172" s="1079"/>
      <c r="AA172" s="1079"/>
      <c r="AB172" s="1079"/>
      <c r="AC172" s="1079"/>
      <c r="AD172" s="1079"/>
      <c r="AE172" s="1079"/>
      <c r="AF172" s="1080"/>
    </row>
    <row r="173" spans="1:32" ht="15.65" customHeight="1" x14ac:dyDescent="0.25">
      <c r="A173" s="1164"/>
      <c r="B173" s="1095"/>
      <c r="C173" s="1096"/>
      <c r="D173" s="1096"/>
      <c r="E173" s="1106"/>
      <c r="F173" s="1096"/>
      <c r="G173" s="1096"/>
      <c r="H173" s="1098"/>
      <c r="I173" s="1098"/>
      <c r="J173" s="1096"/>
      <c r="K173" s="1096"/>
      <c r="L173" s="1096"/>
      <c r="M173" s="1096"/>
      <c r="N173" s="1096"/>
      <c r="O173" s="1096"/>
      <c r="P173" s="1096"/>
      <c r="Q173" s="1099"/>
      <c r="Y173" s="1299" t="s">
        <v>354</v>
      </c>
      <c r="Z173" s="1079"/>
      <c r="AA173" s="1079"/>
      <c r="AB173" s="1079"/>
      <c r="AC173" s="1079"/>
      <c r="AD173" s="1079"/>
      <c r="AE173" s="1079"/>
      <c r="AF173" s="1080"/>
    </row>
    <row r="174" spans="1:32" ht="15.65" customHeight="1" x14ac:dyDescent="0.25">
      <c r="A174" s="1164"/>
      <c r="B174" s="1095"/>
      <c r="C174" s="1096" t="s">
        <v>355</v>
      </c>
      <c r="D174" s="1096"/>
      <c r="E174" s="572"/>
      <c r="F174" s="573"/>
      <c r="G174" s="1300" t="s">
        <v>183</v>
      </c>
      <c r="H174" s="1098"/>
      <c r="I174" s="1098"/>
      <c r="J174" s="1096"/>
      <c r="K174" s="1096"/>
      <c r="L174" s="1096"/>
      <c r="M174" s="1096"/>
      <c r="N174" s="1096"/>
      <c r="O174" s="1096"/>
      <c r="P174" s="1096"/>
      <c r="Q174" s="1099"/>
      <c r="Y174" s="1153" t="s">
        <v>116</v>
      </c>
      <c r="Z174" s="1079"/>
      <c r="AA174" s="1079"/>
      <c r="AB174" s="1079"/>
      <c r="AC174" s="1079"/>
      <c r="AD174" s="1079"/>
      <c r="AE174" s="1079"/>
      <c r="AF174" s="1080"/>
    </row>
    <row r="175" spans="1:32" ht="15.65" customHeight="1" x14ac:dyDescent="0.25">
      <c r="A175" s="1164"/>
      <c r="B175" s="1095"/>
      <c r="C175" s="1113" t="s">
        <v>356</v>
      </c>
      <c r="D175" s="1096"/>
      <c r="E175" s="407"/>
      <c r="F175" s="480"/>
      <c r="G175" s="1301" t="s">
        <v>183</v>
      </c>
      <c r="H175" s="1098"/>
      <c r="I175" s="1098"/>
      <c r="J175" s="1096"/>
      <c r="K175" s="1096"/>
      <c r="L175" s="1096"/>
      <c r="M175" s="1096"/>
      <c r="N175" s="1182"/>
      <c r="O175" s="1183">
        <f>IF(F175="",0,IFERROR(Y175,'Hidden Lists and Summaries'!$C$158))</f>
        <v>0</v>
      </c>
      <c r="P175" s="1184" t="s">
        <v>90</v>
      </c>
      <c r="Q175" s="1099"/>
      <c r="Y175" s="1302">
        <f>F175*VLOOKUP(G175,massConv[#All],3,FALSE)</f>
        <v>0</v>
      </c>
      <c r="Z175" s="1079"/>
      <c r="AA175" s="1079"/>
      <c r="AB175" s="1079"/>
      <c r="AC175" s="1079"/>
      <c r="AD175" s="1079"/>
      <c r="AE175" s="1079"/>
      <c r="AF175" s="1080"/>
    </row>
    <row r="176" spans="1:32" ht="15.65" customHeight="1" x14ac:dyDescent="0.25">
      <c r="A176" s="1164"/>
      <c r="B176" s="1105"/>
      <c r="C176" s="1106"/>
      <c r="D176" s="1106"/>
      <c r="E176" s="1106"/>
      <c r="F176" s="1106"/>
      <c r="G176" s="1106"/>
      <c r="H176" s="1115"/>
      <c r="I176" s="1115"/>
      <c r="J176" s="1106"/>
      <c r="K176" s="1106"/>
      <c r="L176" s="1106"/>
      <c r="M176" s="1106"/>
      <c r="N176" s="1144" t="s">
        <v>120</v>
      </c>
      <c r="O176" s="1145">
        <f>SUM(O175)</f>
        <v>0</v>
      </c>
      <c r="P176" s="1146" t="s">
        <v>90</v>
      </c>
      <c r="Q176" s="1107"/>
      <c r="Y176" s="1088"/>
      <c r="Z176" s="1079"/>
      <c r="AA176" s="1079"/>
      <c r="AB176" s="1079"/>
      <c r="AC176" s="1079"/>
      <c r="AD176" s="1079"/>
      <c r="AE176" s="1079"/>
      <c r="AF176" s="1080"/>
    </row>
    <row r="177" spans="2:32" s="1303" customFormat="1" ht="15.65" customHeight="1" x14ac:dyDescent="0.25">
      <c r="B177" s="1304"/>
      <c r="C177" s="1304"/>
      <c r="D177" s="1304"/>
      <c r="E177" s="1304"/>
      <c r="F177" s="1304"/>
      <c r="G177" s="1304"/>
      <c r="H177" s="1305"/>
      <c r="I177" s="1305"/>
      <c r="J177" s="1304"/>
      <c r="K177" s="1304"/>
      <c r="L177" s="1304"/>
      <c r="M177" s="1304"/>
      <c r="N177" s="1306"/>
      <c r="O177" s="1304"/>
      <c r="P177" s="1304"/>
      <c r="Q177" s="1304"/>
      <c r="Y177" s="1307"/>
      <c r="Z177" s="1305"/>
      <c r="AA177" s="1305"/>
      <c r="AB177" s="1305"/>
      <c r="AC177" s="1305"/>
      <c r="AD177" s="1305"/>
      <c r="AE177" s="1305"/>
      <c r="AF177" s="1308"/>
    </row>
    <row r="178" spans="2:32" s="1303" customFormat="1" ht="15.65" customHeight="1" x14ac:dyDescent="0.25">
      <c r="B178" s="1309" t="str">
        <f ca="1">IF(H204&gt;0,"NOTE: Reductions and co-allocations exceed operational emissions. Excess reductions and Co-Allocations equivalent to " &amp; H204 &amp;"kg CO2-e","")</f>
        <v/>
      </c>
      <c r="C178" s="1304"/>
      <c r="D178" s="1304"/>
      <c r="E178" s="1304"/>
      <c r="F178" s="1304"/>
      <c r="G178" s="1304"/>
      <c r="H178" s="1305"/>
      <c r="I178" s="1305"/>
      <c r="J178" s="1304"/>
      <c r="K178" s="1304"/>
      <c r="L178" s="1304"/>
      <c r="M178" s="1304"/>
      <c r="N178" s="1306"/>
      <c r="O178" s="1304"/>
      <c r="P178" s="1304"/>
      <c r="Q178" s="1304"/>
      <c r="Y178" s="1307"/>
      <c r="Z178" s="1305"/>
      <c r="AA178" s="1305"/>
      <c r="AB178" s="1305"/>
      <c r="AC178" s="1305"/>
      <c r="AD178" s="1305"/>
      <c r="AE178" s="1305"/>
      <c r="AF178" s="1308"/>
    </row>
    <row r="179" spans="2:32" s="1303" customFormat="1" ht="15.65" customHeight="1" x14ac:dyDescent="0.25">
      <c r="B179" s="1304"/>
      <c r="C179" s="1304"/>
      <c r="D179" s="1304"/>
      <c r="E179" s="1304"/>
      <c r="F179" s="1304"/>
      <c r="G179" s="1304"/>
      <c r="H179" s="1305"/>
      <c r="I179" s="1305"/>
      <c r="J179" s="1304"/>
      <c r="K179" s="1304"/>
      <c r="L179" s="1304"/>
      <c r="M179" s="1304"/>
      <c r="N179" s="1306"/>
      <c r="O179" s="1304"/>
      <c r="P179" s="1304"/>
      <c r="Q179" s="1304"/>
      <c r="Y179" s="1307"/>
      <c r="Z179" s="1305"/>
      <c r="AA179" s="1305"/>
      <c r="AB179" s="1305"/>
      <c r="AC179" s="1305"/>
      <c r="AD179" s="1305"/>
      <c r="AE179" s="1305"/>
      <c r="AF179" s="1308"/>
    </row>
    <row r="180" spans="2:32" ht="15.65" customHeight="1" x14ac:dyDescent="0.25">
      <c r="B180" s="1070"/>
      <c r="C180" s="1070"/>
      <c r="D180" s="1070"/>
      <c r="E180" s="1070"/>
      <c r="F180" s="1070"/>
      <c r="G180" s="1070"/>
      <c r="H180" s="1070"/>
      <c r="I180" s="1070"/>
      <c r="J180" s="1070"/>
      <c r="K180" s="1070"/>
      <c r="L180" s="1070"/>
      <c r="M180" s="1070"/>
      <c r="N180" s="1070"/>
      <c r="O180" s="1070"/>
      <c r="P180" s="1070"/>
      <c r="Q180" s="1070"/>
      <c r="Y180" s="1088"/>
      <c r="Z180" s="1079"/>
      <c r="AA180" s="1079"/>
      <c r="AB180" s="1079"/>
      <c r="AC180" s="1079"/>
      <c r="AD180" s="1079"/>
      <c r="AE180" s="1079"/>
      <c r="AF180" s="1080"/>
    </row>
    <row r="181" spans="2:32" ht="15.65" customHeight="1" x14ac:dyDescent="0.25">
      <c r="B181" s="1070"/>
      <c r="C181" s="1074" t="s">
        <v>357</v>
      </c>
      <c r="D181" s="1070"/>
      <c r="E181" s="1070"/>
      <c r="F181" s="1070"/>
      <c r="G181" s="1070"/>
      <c r="H181" s="1070"/>
      <c r="I181" s="1070"/>
      <c r="J181" s="1070"/>
      <c r="K181" s="1070"/>
      <c r="L181" s="1070"/>
      <c r="M181" s="1070"/>
      <c r="N181" s="1070"/>
      <c r="O181" s="1070"/>
      <c r="P181" s="1070"/>
      <c r="Q181" s="1070"/>
      <c r="Y181" s="1088"/>
      <c r="Z181" s="1079"/>
      <c r="AA181" s="1079"/>
      <c r="AB181" s="1079"/>
      <c r="AC181" s="1079"/>
      <c r="AD181" s="1079"/>
      <c r="AE181" s="1079"/>
      <c r="AF181" s="1080"/>
    </row>
    <row r="182" spans="2:32" ht="15.65" customHeight="1" x14ac:dyDescent="0.25">
      <c r="B182" s="1070"/>
      <c r="C182" s="1070"/>
      <c r="D182" s="1070"/>
      <c r="E182" s="1070"/>
      <c r="F182" s="1070"/>
      <c r="G182" s="1070"/>
      <c r="H182" s="1070"/>
      <c r="I182" s="1070"/>
      <c r="J182" s="1070"/>
      <c r="K182" s="1070"/>
      <c r="L182" s="1070"/>
      <c r="M182" s="1070"/>
      <c r="N182" s="1070"/>
      <c r="O182" s="1070"/>
      <c r="P182" s="1070"/>
      <c r="Q182" s="1070"/>
      <c r="Y182" s="1088"/>
      <c r="Z182" s="1079"/>
      <c r="AA182" s="1079"/>
      <c r="AB182" s="1079"/>
      <c r="AC182" s="1079"/>
      <c r="AD182" s="1079"/>
      <c r="AE182" s="1079"/>
      <c r="AF182" s="1080"/>
    </row>
    <row r="183" spans="2:32" ht="15.65" customHeight="1" x14ac:dyDescent="0.25">
      <c r="B183" s="1118"/>
      <c r="C183" s="1118"/>
      <c r="D183" s="1118"/>
      <c r="E183" s="1118"/>
      <c r="F183" s="1118"/>
      <c r="G183" s="1118"/>
      <c r="H183" s="1118"/>
      <c r="I183" s="1118"/>
      <c r="J183" s="1118"/>
      <c r="K183" s="1118"/>
      <c r="L183" s="1118"/>
      <c r="M183" s="1118"/>
      <c r="N183" s="1118"/>
      <c r="O183" s="1118"/>
      <c r="P183" s="1118"/>
      <c r="Q183" s="1118"/>
      <c r="Y183" s="1088"/>
      <c r="Z183" s="1079"/>
      <c r="AA183" s="1079"/>
      <c r="AB183" s="1079"/>
      <c r="AC183" s="1079"/>
      <c r="AD183" s="1079"/>
      <c r="AE183" s="1079"/>
      <c r="AF183" s="1080"/>
    </row>
    <row r="184" spans="2:32" ht="15.65" customHeight="1" x14ac:dyDescent="0.25">
      <c r="B184"/>
      <c r="C184"/>
      <c r="D184"/>
      <c r="E184" s="1121" t="s">
        <v>358</v>
      </c>
      <c r="F184" s="1121" t="s">
        <v>359</v>
      </c>
      <c r="G184" s="1121" t="s">
        <v>360</v>
      </c>
      <c r="H184" s="1121" t="s">
        <v>361</v>
      </c>
      <c r="I184" s="1121" t="s">
        <v>362</v>
      </c>
      <c r="Y184" s="1088"/>
      <c r="Z184" s="1079"/>
      <c r="AA184" s="1079"/>
      <c r="AB184" s="1079"/>
      <c r="AC184" s="1079"/>
      <c r="AD184" s="1079"/>
      <c r="AE184" s="1079"/>
      <c r="AF184" s="1080"/>
    </row>
    <row r="185" spans="2:32" ht="15.65" customHeight="1" x14ac:dyDescent="0.25">
      <c r="B185"/>
      <c r="C185"/>
      <c r="D185"/>
      <c r="E185" t="s">
        <v>937</v>
      </c>
      <c r="F185" t="s">
        <v>804</v>
      </c>
      <c r="G185"/>
      <c r="H185" t="str">
        <f ca="1">IFERROR(SUMIF(LOHCDehydrogenationEmissionsBreakdown[Major category],'Hidden Lists and Summaries'!$B$5,LOHCDehydrogenationEmissionsBreakdown[Emissions (kg CO2-e)]), 'Hidden Lists and Summaries'!$C$158)</f>
        <v>Error -  Review inputs</v>
      </c>
      <c r="I185" t="s">
        <v>90</v>
      </c>
      <c r="Y185" s="1088"/>
      <c r="Z185" s="1079"/>
      <c r="AA185" s="1079"/>
      <c r="AB185" s="1079"/>
      <c r="AC185" s="1079"/>
      <c r="AD185" s="1079"/>
      <c r="AE185" s="1079"/>
      <c r="AF185" s="1080"/>
    </row>
    <row r="186" spans="2:32" ht="15.65" customHeight="1" x14ac:dyDescent="0.25">
      <c r="B186"/>
      <c r="C186"/>
      <c r="D186"/>
      <c r="E186" t="s">
        <v>937</v>
      </c>
      <c r="F186" t="s">
        <v>365</v>
      </c>
      <c r="G186"/>
      <c r="H186">
        <f>IFERROR(H281, 'Hidden Lists and Summaries'!$C$158)</f>
        <v>0</v>
      </c>
      <c r="I186" t="s">
        <v>90</v>
      </c>
      <c r="Y186" s="263"/>
      <c r="Z186" s="1310"/>
      <c r="AA186" s="1079"/>
      <c r="AB186" s="1079"/>
      <c r="AC186" s="1079"/>
      <c r="AD186" s="1079"/>
      <c r="AE186" s="1079"/>
      <c r="AF186" s="1080"/>
    </row>
    <row r="187" spans="2:32" ht="15.65" customHeight="1" x14ac:dyDescent="0.25">
      <c r="B187"/>
      <c r="C187"/>
      <c r="D187"/>
      <c r="E187" t="s">
        <v>937</v>
      </c>
      <c r="F187" t="s">
        <v>366</v>
      </c>
      <c r="G187"/>
      <c r="H187">
        <f>IFERROR(H282, 'Hidden Lists and Summaries'!$C$158)</f>
        <v>0</v>
      </c>
      <c r="I187" t="s">
        <v>90</v>
      </c>
      <c r="Y187" s="263"/>
      <c r="Z187" s="1079"/>
      <c r="AA187" s="1079"/>
      <c r="AB187" s="1079"/>
      <c r="AC187" s="1079"/>
      <c r="AD187" s="1079"/>
      <c r="AE187" s="1079"/>
      <c r="AF187" s="1080"/>
    </row>
    <row r="188" spans="2:32" ht="15.65" customHeight="1" x14ac:dyDescent="0.25">
      <c r="B188"/>
      <c r="C188"/>
      <c r="D188"/>
      <c r="E188" t="s">
        <v>937</v>
      </c>
      <c r="F188" t="s">
        <v>118</v>
      </c>
      <c r="G188"/>
      <c r="H188">
        <f>IFERROR(H283, 'Hidden Lists and Summaries'!$C$158)</f>
        <v>0</v>
      </c>
      <c r="I188" t="s">
        <v>90</v>
      </c>
      <c r="Y188" s="263"/>
      <c r="Z188" s="1079"/>
      <c r="AA188" s="1079"/>
      <c r="AB188" s="1079"/>
      <c r="AC188" s="1079"/>
      <c r="AD188" s="1079"/>
      <c r="AE188" s="1079"/>
      <c r="AF188" s="1080"/>
    </row>
    <row r="189" spans="2:32" ht="15.65" customHeight="1" x14ac:dyDescent="0.25">
      <c r="B189"/>
      <c r="C189"/>
      <c r="D189"/>
      <c r="E189" t="s">
        <v>937</v>
      </c>
      <c r="F189" t="s">
        <v>367</v>
      </c>
      <c r="G189"/>
      <c r="H189">
        <f>IFERROR(H284, 'Hidden Lists and Summaries'!$C$158)</f>
        <v>0</v>
      </c>
      <c r="I189" t="s">
        <v>90</v>
      </c>
      <c r="Y189" s="263"/>
      <c r="Z189" s="1079"/>
      <c r="AA189" s="1079"/>
      <c r="AB189" s="1079"/>
      <c r="AC189" s="1079"/>
      <c r="AD189" s="1079"/>
      <c r="AE189" s="1079"/>
      <c r="AF189" s="1080"/>
    </row>
    <row r="190" spans="2:32" ht="15.65" customHeight="1" x14ac:dyDescent="0.25">
      <c r="B190"/>
      <c r="C190"/>
      <c r="D190"/>
      <c r="E190" t="s">
        <v>937</v>
      </c>
      <c r="F190" t="s">
        <v>368</v>
      </c>
      <c r="G190"/>
      <c r="H190">
        <f>IFERROR(H285, 'Hidden Lists and Summaries'!$C$158)</f>
        <v>0</v>
      </c>
      <c r="I190" t="s">
        <v>90</v>
      </c>
      <c r="Y190" s="263"/>
      <c r="Z190" s="1079"/>
      <c r="AA190" s="1079"/>
      <c r="AB190" s="1079"/>
      <c r="AC190" s="1079"/>
      <c r="AD190" s="1079"/>
      <c r="AE190" s="1079"/>
      <c r="AF190" s="1080"/>
    </row>
    <row r="191" spans="2:32" x14ac:dyDescent="0.25">
      <c r="B191"/>
      <c r="C191"/>
      <c r="D191"/>
      <c r="E191" t="s">
        <v>937</v>
      </c>
      <c r="F191" t="s">
        <v>370</v>
      </c>
      <c r="G191"/>
      <c r="H191">
        <f ca="1">IFERROR(SUM(H185:H190),'Hidden Lists and Summaries'!$C$158)</f>
        <v>0</v>
      </c>
      <c r="I191" t="s">
        <v>90</v>
      </c>
      <c r="Y191" s="263"/>
      <c r="Z191" s="1079"/>
      <c r="AA191" s="1079"/>
      <c r="AB191" s="1079"/>
      <c r="AC191" s="1079"/>
      <c r="AD191" s="1079"/>
      <c r="AE191" s="1079"/>
      <c r="AF191" s="1080"/>
    </row>
    <row r="192" spans="2:32" x14ac:dyDescent="0.25">
      <c r="B192"/>
      <c r="C192"/>
      <c r="D192"/>
      <c r="E192" t="s">
        <v>937</v>
      </c>
      <c r="F192" t="s">
        <v>371</v>
      </c>
      <c r="G192"/>
      <c r="H192" t="str">
        <f ca="1">IFERROR(H191/(lohcDehyd_quantityProduced_tonnes*1000),'Hidden Lists and Summaries'!$C$158)</f>
        <v>Error -  Review inputs</v>
      </c>
      <c r="I192" t="s">
        <v>372</v>
      </c>
      <c r="Y192" s="263"/>
      <c r="Z192" s="1079"/>
      <c r="AA192" s="1079"/>
      <c r="AB192" s="1079"/>
      <c r="AC192" s="1079"/>
      <c r="AD192" s="1079"/>
      <c r="AE192" s="1079"/>
      <c r="AF192" s="1080"/>
    </row>
    <row r="193" spans="2:32" x14ac:dyDescent="0.25">
      <c r="B193"/>
      <c r="C193"/>
      <c r="D193"/>
      <c r="E193" t="s">
        <v>937</v>
      </c>
      <c r="F193" t="s">
        <v>373</v>
      </c>
      <c r="G193"/>
      <c r="H193" s="227">
        <f>H286</f>
        <v>0</v>
      </c>
      <c r="I193" t="s">
        <v>90</v>
      </c>
      <c r="Y193" s="263"/>
      <c r="Z193" s="1079"/>
      <c r="AA193" s="1079"/>
      <c r="AB193" s="1079"/>
      <c r="AC193" s="1079"/>
      <c r="AD193" s="1079"/>
      <c r="AE193" s="1079"/>
      <c r="AF193" s="1080"/>
    </row>
    <row r="194" spans="2:32" ht="15.65" customHeight="1" x14ac:dyDescent="0.25">
      <c r="B194"/>
      <c r="C194"/>
      <c r="D194"/>
      <c r="E194" t="s">
        <v>937</v>
      </c>
      <c r="F194" t="s">
        <v>810</v>
      </c>
      <c r="G194"/>
      <c r="H194" s="227">
        <f>H288</f>
        <v>0</v>
      </c>
      <c r="I194" t="s">
        <v>90</v>
      </c>
      <c r="Y194" s="263"/>
      <c r="Z194" s="1079"/>
      <c r="AA194" s="1079"/>
      <c r="AB194" s="1079"/>
      <c r="AC194" s="1079"/>
      <c r="AD194" s="1079"/>
      <c r="AE194" s="1079"/>
      <c r="AF194" s="1080"/>
    </row>
    <row r="195" spans="2:32" ht="15.65" customHeight="1" x14ac:dyDescent="0.25">
      <c r="B195"/>
      <c r="C195"/>
      <c r="D195"/>
      <c r="E195" t="s">
        <v>937</v>
      </c>
      <c r="F195" t="s">
        <v>811</v>
      </c>
      <c r="G195"/>
      <c r="H195" s="227">
        <f>H289</f>
        <v>0</v>
      </c>
      <c r="I195" t="s">
        <v>90</v>
      </c>
      <c r="Y195" s="263"/>
      <c r="Z195" s="1079"/>
      <c r="AA195" s="1079"/>
      <c r="AB195" s="1079"/>
      <c r="AC195" s="1079"/>
      <c r="AD195" s="1079"/>
      <c r="AE195" s="1079"/>
      <c r="AF195" s="1080"/>
    </row>
    <row r="196" spans="2:32" ht="15.65" customHeight="1" x14ac:dyDescent="0.25">
      <c r="B196"/>
      <c r="C196"/>
      <c r="D196"/>
      <c r="E196" t="s">
        <v>937</v>
      </c>
      <c r="F196" t="s">
        <v>909</v>
      </c>
      <c r="G196"/>
      <c r="H196" t="s">
        <v>369</v>
      </c>
      <c r="I196" t="s">
        <v>90</v>
      </c>
      <c r="Y196" s="1088"/>
      <c r="Z196" s="1079"/>
      <c r="AA196" s="1079"/>
      <c r="AB196" s="1079"/>
      <c r="AC196" s="1079"/>
      <c r="AD196" s="1079"/>
      <c r="AE196" s="1079"/>
      <c r="AF196" s="1080"/>
    </row>
    <row r="197" spans="2:32" ht="15.65" customHeight="1" x14ac:dyDescent="0.25">
      <c r="B197"/>
      <c r="C197"/>
      <c r="D197"/>
      <c r="E197" t="s">
        <v>937</v>
      </c>
      <c r="F197" t="s">
        <v>938</v>
      </c>
      <c r="G197"/>
      <c r="H197" s="227">
        <f>H290</f>
        <v>0</v>
      </c>
      <c r="I197" t="s">
        <v>90</v>
      </c>
      <c r="Y197" s="1088"/>
      <c r="Z197" s="1079"/>
      <c r="AA197" s="1079"/>
      <c r="AB197" s="1079"/>
      <c r="AC197" s="1079"/>
      <c r="AD197" s="1079"/>
      <c r="AE197" s="1079"/>
      <c r="AF197" s="1080"/>
    </row>
    <row r="198" spans="2:32" ht="15.65" customHeight="1" x14ac:dyDescent="0.25">
      <c r="B198"/>
      <c r="C198"/>
      <c r="D198"/>
      <c r="E198" t="s">
        <v>937</v>
      </c>
      <c r="F198" t="s">
        <v>818</v>
      </c>
      <c r="G198"/>
      <c r="H198" s="227">
        <f>H291</f>
        <v>0</v>
      </c>
      <c r="I198" t="s">
        <v>90</v>
      </c>
      <c r="Y198" s="1311"/>
      <c r="Z198" s="1079"/>
      <c r="AA198" s="1079"/>
      <c r="AB198" s="1079"/>
      <c r="AC198" s="1079"/>
      <c r="AD198" s="1079"/>
      <c r="AE198" s="1079"/>
      <c r="AF198" s="1080"/>
    </row>
    <row r="199" spans="2:32" ht="15.65" customHeight="1" x14ac:dyDescent="0.25">
      <c r="B199"/>
      <c r="C199"/>
      <c r="D199"/>
      <c r="E199" t="s">
        <v>937</v>
      </c>
      <c r="F199" t="s">
        <v>814</v>
      </c>
      <c r="G199"/>
      <c r="H199" s="227">
        <f>H292</f>
        <v>0</v>
      </c>
      <c r="I199" t="s">
        <v>90</v>
      </c>
      <c r="Y199" s="1311"/>
      <c r="Z199" s="1079"/>
      <c r="AA199" s="1079"/>
      <c r="AB199" s="1079"/>
      <c r="AC199" s="1079"/>
      <c r="AD199" s="1079"/>
      <c r="AE199" s="1079"/>
      <c r="AF199" s="1080"/>
    </row>
    <row r="200" spans="2:32" ht="15.65" customHeight="1" x14ac:dyDescent="0.25">
      <c r="B200"/>
      <c r="C200"/>
      <c r="D200"/>
      <c r="E200" t="s">
        <v>937</v>
      </c>
      <c r="F200" t="s">
        <v>819</v>
      </c>
      <c r="G200"/>
      <c r="H200" s="227">
        <f>H295</f>
        <v>0</v>
      </c>
      <c r="I200" t="s">
        <v>90</v>
      </c>
      <c r="Y200" s="1165"/>
      <c r="Z200" s="1079"/>
      <c r="AA200" s="1079"/>
      <c r="AB200" s="1079"/>
      <c r="AC200" s="1079"/>
      <c r="AD200" s="1079"/>
      <c r="AE200" s="1079"/>
      <c r="AF200" s="1080"/>
    </row>
    <row r="201" spans="2:32" ht="15.65" customHeight="1" x14ac:dyDescent="0.25">
      <c r="B201"/>
      <c r="C201"/>
      <c r="D201"/>
      <c r="E201" t="s">
        <v>937</v>
      </c>
      <c r="F201" t="s">
        <v>384</v>
      </c>
      <c r="G201"/>
      <c r="H201">
        <f>IFERROR(H287,'Hidden Lists and Summaries'!$C$158)</f>
        <v>0</v>
      </c>
      <c r="I201" t="s">
        <v>90</v>
      </c>
      <c r="Y201" s="1165"/>
      <c r="Z201" s="1079"/>
      <c r="AA201" s="1079"/>
      <c r="AB201" s="1079"/>
      <c r="AC201" s="1079"/>
      <c r="AD201" s="1079"/>
      <c r="AE201" s="1079"/>
      <c r="AF201" s="1080"/>
    </row>
    <row r="202" spans="2:32" ht="15.65" customHeight="1" x14ac:dyDescent="0.25">
      <c r="B202"/>
      <c r="C202"/>
      <c r="D202"/>
      <c r="E202" t="s">
        <v>937</v>
      </c>
      <c r="F202" t="s">
        <v>385</v>
      </c>
      <c r="G202"/>
      <c r="H202">
        <f ca="1">IFERROR(H191-SUM(H194:H200)+H201,'Hidden Lists and Summaries'!$C$158)</f>
        <v>0</v>
      </c>
      <c r="I202" t="s">
        <v>90</v>
      </c>
      <c r="Y202" s="1165"/>
      <c r="Z202" s="1079"/>
      <c r="AA202" s="1079"/>
      <c r="AB202" s="1079"/>
      <c r="AC202" s="1079"/>
      <c r="AD202" s="1079"/>
      <c r="AE202" s="1079"/>
      <c r="AF202" s="1080"/>
    </row>
    <row r="203" spans="2:32" ht="15.65" customHeight="1" x14ac:dyDescent="0.25">
      <c r="B203"/>
      <c r="C203"/>
      <c r="D203"/>
      <c r="E203" t="s">
        <v>937</v>
      </c>
      <c r="F203" t="s">
        <v>386</v>
      </c>
      <c r="G203"/>
      <c r="H203">
        <f ca="1">IFERROR(MAX(H191-SUM(H194:H200)+H201,0),'Hidden Lists and Summaries'!$C$158)</f>
        <v>0</v>
      </c>
      <c r="I203" t="s">
        <v>90</v>
      </c>
      <c r="Y203" s="1165"/>
      <c r="Z203" s="1079"/>
      <c r="AA203" s="1079"/>
      <c r="AB203" s="1079"/>
      <c r="AC203" s="1079"/>
      <c r="AD203" s="1079"/>
      <c r="AE203" s="1079"/>
      <c r="AF203" s="1080"/>
    </row>
    <row r="204" spans="2:32" ht="15.65" customHeight="1" x14ac:dyDescent="0.25">
      <c r="B204"/>
      <c r="C204"/>
      <c r="D204"/>
      <c r="E204" t="s">
        <v>937</v>
      </c>
      <c r="F204" t="s">
        <v>387</v>
      </c>
      <c r="G204"/>
      <c r="H204">
        <f ca="1">IFERROR(H203-H202,'Hidden Lists and Summaries'!$C$158)</f>
        <v>0</v>
      </c>
      <c r="I204" t="s">
        <v>90</v>
      </c>
      <c r="Y204" s="1165"/>
      <c r="Z204" s="1079"/>
      <c r="AA204" s="1079"/>
      <c r="AB204" s="1079"/>
      <c r="AC204" s="1079"/>
      <c r="AD204" s="1079"/>
      <c r="AE204" s="1079"/>
      <c r="AF204" s="1080"/>
    </row>
    <row r="205" spans="2:32" ht="15.65" customHeight="1" x14ac:dyDescent="0.25">
      <c r="B205"/>
      <c r="C205"/>
      <c r="D205"/>
      <c r="E205" t="s">
        <v>937</v>
      </c>
      <c r="F205" t="s">
        <v>388</v>
      </c>
      <c r="G205"/>
      <c r="H205" t="str">
        <f ca="1">IFERROR(H203/(lohcDehyd_quantityProduced_tonnes*1000),'Hidden Lists and Summaries'!$C$158)</f>
        <v>Error -  Review inputs</v>
      </c>
      <c r="I205" t="s">
        <v>372</v>
      </c>
      <c r="Y205" s="1165"/>
      <c r="Z205" s="1079"/>
      <c r="AA205" s="1079"/>
      <c r="AB205" s="1079"/>
      <c r="AC205" s="1079"/>
      <c r="AD205" s="1079"/>
      <c r="AE205" s="1079"/>
      <c r="AF205" s="1080"/>
    </row>
    <row r="206" spans="2:32" ht="15.65" customHeight="1" x14ac:dyDescent="0.25">
      <c r="B206"/>
      <c r="C206"/>
      <c r="D206"/>
      <c r="E206" t="s">
        <v>937</v>
      </c>
      <c r="F206" t="s">
        <v>389</v>
      </c>
      <c r="G206"/>
      <c r="H206" s="227">
        <f>H293</f>
        <v>0</v>
      </c>
      <c r="I206" t="s">
        <v>90</v>
      </c>
      <c r="Y206" s="1165"/>
      <c r="Z206" s="1079"/>
      <c r="AA206" s="1079"/>
      <c r="AB206" s="1079"/>
      <c r="AC206" s="1079"/>
      <c r="AD206" s="1079"/>
      <c r="AE206" s="1079"/>
      <c r="AF206" s="1080"/>
    </row>
    <row r="207" spans="2:32" ht="15.65" customHeight="1" x14ac:dyDescent="0.25">
      <c r="B207"/>
      <c r="C207"/>
      <c r="D207"/>
      <c r="E207" t="s">
        <v>937</v>
      </c>
      <c r="F207" t="s">
        <v>390</v>
      </c>
      <c r="G207"/>
      <c r="H207" s="227">
        <f>H294</f>
        <v>0</v>
      </c>
      <c r="I207" t="s">
        <v>90</v>
      </c>
      <c r="Y207" s="1165"/>
      <c r="Z207" s="1079"/>
      <c r="AA207" s="1079"/>
      <c r="AB207" s="1079"/>
      <c r="AC207" s="1079"/>
      <c r="AD207" s="1079"/>
      <c r="AE207" s="1079"/>
      <c r="AF207" s="1080"/>
    </row>
    <row r="208" spans="2:32" ht="15.65" customHeight="1" x14ac:dyDescent="0.25">
      <c r="B208"/>
      <c r="C208"/>
      <c r="D208"/>
      <c r="E208" t="s">
        <v>937</v>
      </c>
      <c r="F208" t="s">
        <v>391</v>
      </c>
      <c r="G208"/>
      <c r="H208" s="227">
        <f>SUM(H206:H207)</f>
        <v>0</v>
      </c>
      <c r="I208" t="s">
        <v>90</v>
      </c>
      <c r="Y208" s="1165"/>
      <c r="Z208" s="1079"/>
      <c r="AA208" s="1079"/>
      <c r="AB208" s="1079"/>
      <c r="AC208" s="1079"/>
      <c r="AD208" s="1079"/>
      <c r="AE208" s="1079"/>
      <c r="AF208" s="1080"/>
    </row>
    <row r="209" spans="2:43" ht="15.65" customHeight="1" x14ac:dyDescent="0.25">
      <c r="B209"/>
      <c r="C209"/>
      <c r="D209"/>
      <c r="E209" t="s">
        <v>937</v>
      </c>
      <c r="F209" t="s">
        <v>392</v>
      </c>
      <c r="G209"/>
      <c r="H209" t="e">
        <f>H208/ (lohcDehyd_quantityProduced_tonnes*1000)</f>
        <v>#DIV/0!</v>
      </c>
      <c r="I209" t="s">
        <v>372</v>
      </c>
      <c r="Y209" s="1367"/>
      <c r="Z209" s="1142"/>
      <c r="AA209" s="1142"/>
      <c r="AB209" s="1142"/>
      <c r="AC209" s="1142"/>
      <c r="AD209" s="1142"/>
      <c r="AE209" s="1142"/>
      <c r="AF209" s="1143"/>
    </row>
    <row r="210" spans="2:43" ht="15.65" customHeight="1" x14ac:dyDescent="0.25">
      <c r="B210"/>
      <c r="C210"/>
      <c r="D210"/>
      <c r="E210" t="s">
        <v>937</v>
      </c>
      <c r="F210" t="s">
        <v>393</v>
      </c>
      <c r="G210"/>
      <c r="H210">
        <f>downstream_transport_and_storage_losses</f>
        <v>0</v>
      </c>
      <c r="I210" t="s">
        <v>90</v>
      </c>
      <c r="O210" s="1473"/>
    </row>
    <row r="211" spans="2:43" ht="15.65" customHeight="1" x14ac:dyDescent="0.25">
      <c r="B211"/>
      <c r="C211"/>
      <c r="D211"/>
      <c r="E211" t="s">
        <v>937</v>
      </c>
      <c r="F211" t="s">
        <v>398</v>
      </c>
      <c r="G211"/>
      <c r="H211">
        <f>(lohcProd_quantityProduced_tonnes*1000)-H210</f>
        <v>0</v>
      </c>
      <c r="I211" t="s">
        <v>90</v>
      </c>
      <c r="X211" s="1234"/>
      <c r="Y211" s="1234"/>
      <c r="Z211" s="1234"/>
      <c r="AA211" s="1234"/>
      <c r="AB211" s="1234"/>
      <c r="AC211" s="1234"/>
      <c r="AD211" s="1234"/>
      <c r="AE211" s="1234"/>
      <c r="AF211" s="1234"/>
      <c r="AG211" s="1234"/>
      <c r="AH211" s="1234"/>
      <c r="AI211" s="1234"/>
      <c r="AJ211" s="1234"/>
      <c r="AK211" s="1234"/>
      <c r="AL211" s="1234"/>
      <c r="AM211" s="1234"/>
      <c r="AN211" s="1234"/>
      <c r="AO211" s="1234"/>
      <c r="AP211" s="1234"/>
      <c r="AQ211" s="1234"/>
    </row>
    <row r="212" spans="2:43" ht="15.65" customHeight="1" x14ac:dyDescent="0.25">
      <c r="B212"/>
      <c r="C212"/>
      <c r="D212"/>
      <c r="E212" t="s">
        <v>937</v>
      </c>
      <c r="F212" t="s">
        <v>395</v>
      </c>
      <c r="G212"/>
      <c r="H212" t="e">
        <f ca="1">H210/(lohcDehyd_quantityProduced_tonnes*1000) * SUM(H192,H209)</f>
        <v>#DIV/0!</v>
      </c>
      <c r="I212" t="s">
        <v>90</v>
      </c>
      <c r="X212" s="1234"/>
      <c r="Y212" s="1368"/>
      <c r="Z212" s="1368"/>
      <c r="AA212" s="1912"/>
      <c r="AB212" s="1912"/>
      <c r="AC212" s="1314"/>
      <c r="AD212" s="1369"/>
      <c r="AE212" s="1369"/>
      <c r="AF212" s="1369"/>
      <c r="AG212" s="1369"/>
      <c r="AH212" s="1369"/>
      <c r="AI212" s="1369"/>
      <c r="AJ212" s="1369"/>
      <c r="AK212" s="1369"/>
      <c r="AL212" s="1234"/>
      <c r="AM212" s="1234"/>
      <c r="AN212" s="1234"/>
      <c r="AO212" s="1234"/>
      <c r="AP212" s="1234"/>
      <c r="AQ212" s="1234"/>
    </row>
    <row r="213" spans="2:43" ht="15.65" customHeight="1" x14ac:dyDescent="0.25">
      <c r="B213"/>
      <c r="C213"/>
      <c r="D213"/>
      <c r="E213" t="s">
        <v>937</v>
      </c>
      <c r="F213" t="s">
        <v>397</v>
      </c>
      <c r="G213"/>
      <c r="H213" t="e">
        <f ca="1">H210/(lohcDehyd_quantityProduced_tonnes*1000) * SUM(lohcDehyd_netEmissionsIntensity,H209)</f>
        <v>#DIV/0!</v>
      </c>
      <c r="I213" t="s">
        <v>90</v>
      </c>
      <c r="X213" s="1234"/>
      <c r="Y213" s="1234"/>
      <c r="Z213" s="1234"/>
      <c r="AA213" s="1912"/>
      <c r="AB213" s="1912"/>
      <c r="AC213" s="1234"/>
      <c r="AD213" s="1369"/>
      <c r="AE213" s="1369"/>
      <c r="AF213" s="1369"/>
      <c r="AG213" s="1369"/>
      <c r="AH213" s="1369"/>
      <c r="AI213" s="1369"/>
      <c r="AJ213" s="1369"/>
      <c r="AK213" s="1369"/>
      <c r="AL213" s="1234"/>
      <c r="AM213" s="1234"/>
      <c r="AN213" s="1234"/>
      <c r="AO213" s="1234"/>
      <c r="AP213" s="1234"/>
      <c r="AQ213" s="1234"/>
    </row>
    <row r="214" spans="2:43" ht="15.65" customHeight="1" x14ac:dyDescent="0.25">
      <c r="B214"/>
      <c r="C214"/>
      <c r="D214"/>
      <c r="E214" t="s">
        <v>937</v>
      </c>
      <c r="F214" t="s">
        <v>399</v>
      </c>
      <c r="G214"/>
      <c r="H214" t="e">
        <f ca="1">SUM(H192,H209,H212)</f>
        <v>#DIV/0!</v>
      </c>
      <c r="I214" t="s">
        <v>372</v>
      </c>
      <c r="X214" s="1234"/>
      <c r="Y214" s="1234"/>
      <c r="Z214" s="1234"/>
      <c r="AA214" s="1474"/>
      <c r="AB214" s="1234"/>
      <c r="AC214" s="1234"/>
      <c r="AD214" s="1234"/>
      <c r="AE214" s="1234"/>
      <c r="AF214" s="1234"/>
      <c r="AG214" s="1234"/>
      <c r="AH214" s="1234"/>
      <c r="AI214" s="1234"/>
      <c r="AJ214" s="1234"/>
      <c r="AK214" s="1234"/>
      <c r="AL214" s="1234"/>
      <c r="AM214" s="1234"/>
      <c r="AN214" s="1234"/>
      <c r="AO214" s="1234"/>
      <c r="AP214" s="1234"/>
      <c r="AQ214" s="1234"/>
    </row>
    <row r="215" spans="2:43" ht="15.65" customHeight="1" x14ac:dyDescent="0.25">
      <c r="B215"/>
      <c r="C215"/>
      <c r="D215"/>
      <c r="E215" t="s">
        <v>937</v>
      </c>
      <c r="F215" t="s">
        <v>400</v>
      </c>
      <c r="G215"/>
      <c r="H215" t="e">
        <f ca="1">SUM(H205,H209,H213)</f>
        <v>#DIV/0!</v>
      </c>
      <c r="I215" t="s">
        <v>372</v>
      </c>
      <c r="X215" s="1234"/>
      <c r="Y215" s="1234"/>
      <c r="Z215" s="1234"/>
      <c r="AA215" s="1474"/>
      <c r="AB215" s="1234"/>
      <c r="AC215" s="1234"/>
      <c r="AD215" s="1234"/>
      <c r="AE215" s="1234"/>
      <c r="AF215" s="1234"/>
      <c r="AG215" s="1234"/>
      <c r="AH215" s="1234"/>
      <c r="AI215" s="1234"/>
      <c r="AJ215" s="1234"/>
      <c r="AK215" s="1234"/>
      <c r="AL215" s="1234"/>
      <c r="AM215" s="1234"/>
      <c r="AN215" s="1234"/>
      <c r="AO215" s="1234"/>
      <c r="AP215" s="1234"/>
      <c r="AQ215" s="1234"/>
    </row>
    <row r="216" spans="2:43" ht="15.65" customHeight="1" x14ac:dyDescent="0.25">
      <c r="B216"/>
      <c r="C216"/>
      <c r="D216"/>
      <c r="E216" t="s">
        <v>937</v>
      </c>
      <c r="F216" t="s">
        <v>407</v>
      </c>
      <c r="G216"/>
      <c r="H216">
        <f>lohcDehyd_quantityProduced_tonnes*1000</f>
        <v>0</v>
      </c>
      <c r="I216" t="s">
        <v>394</v>
      </c>
      <c r="X216" s="1234"/>
      <c r="Y216" s="1234"/>
      <c r="Z216" s="1234"/>
      <c r="AA216" s="1474"/>
      <c r="AB216" s="1234"/>
      <c r="AC216" s="1234"/>
      <c r="AD216" s="1234"/>
      <c r="AE216" s="1234"/>
      <c r="AF216" s="1234"/>
      <c r="AG216" s="1234"/>
      <c r="AH216" s="1234"/>
      <c r="AI216" s="1234"/>
      <c r="AJ216" s="1234"/>
      <c r="AK216" s="1234"/>
      <c r="AL216" s="1234"/>
      <c r="AM216" s="1234"/>
      <c r="AN216" s="1234"/>
      <c r="AO216" s="1234"/>
      <c r="AP216" s="1234"/>
      <c r="AQ216" s="1234"/>
    </row>
    <row r="217" spans="2:43" ht="15.65" customHeight="1" x14ac:dyDescent="0.25">
      <c r="B217"/>
      <c r="C217"/>
      <c r="D217"/>
      <c r="E217" t="s">
        <v>937</v>
      </c>
      <c r="F217" t="s">
        <v>910</v>
      </c>
      <c r="G217"/>
      <c r="H217">
        <f>E24</f>
        <v>0</v>
      </c>
      <c r="I217"/>
      <c r="X217" s="1234"/>
      <c r="Y217" s="1234"/>
      <c r="Z217" s="1234"/>
      <c r="AA217" s="1234"/>
      <c r="AB217" s="1234"/>
      <c r="AC217" s="1234"/>
      <c r="AD217" s="1234"/>
      <c r="AE217" s="1234"/>
      <c r="AF217" s="1234"/>
      <c r="AG217" s="1234"/>
      <c r="AH217" s="1234"/>
      <c r="AI217" s="1234"/>
      <c r="AJ217" s="1234"/>
      <c r="AK217" s="1234"/>
      <c r="AL217" s="1234"/>
      <c r="AM217" s="1234"/>
      <c r="AN217" s="1234"/>
      <c r="AO217" s="1234"/>
      <c r="AP217" s="1234"/>
      <c r="AQ217" s="1234"/>
    </row>
    <row r="218" spans="2:43" ht="15.65" customHeight="1" x14ac:dyDescent="0.25">
      <c r="B218"/>
      <c r="C218"/>
      <c r="D218"/>
      <c r="E218" t="s">
        <v>937</v>
      </c>
      <c r="F218" t="s">
        <v>188</v>
      </c>
      <c r="G218"/>
      <c r="H218">
        <f>E25</f>
        <v>0</v>
      </c>
      <c r="I218" t="s">
        <v>409</v>
      </c>
      <c r="X218" s="1234"/>
      <c r="Y218" s="1234"/>
      <c r="Z218" s="1234"/>
      <c r="AA218" s="1234"/>
      <c r="AB218" s="1234"/>
      <c r="AC218" s="1234"/>
      <c r="AD218" s="1234"/>
      <c r="AE218" s="1234"/>
      <c r="AF218" s="1234"/>
      <c r="AG218" s="1234"/>
      <c r="AH218" s="1234"/>
      <c r="AI218" s="1234"/>
      <c r="AJ218" s="1234"/>
      <c r="AK218" s="1234"/>
      <c r="AL218" s="1234"/>
      <c r="AM218" s="1234"/>
      <c r="AN218" s="1234"/>
      <c r="AO218" s="1234"/>
      <c r="AP218" s="1234"/>
      <c r="AQ218" s="1234"/>
    </row>
    <row r="219" spans="2:43" ht="15.65" customHeight="1" x14ac:dyDescent="0.25">
      <c r="B219"/>
      <c r="C219"/>
      <c r="D219"/>
      <c r="E219" t="s">
        <v>937</v>
      </c>
      <c r="F219" t="s">
        <v>410</v>
      </c>
      <c r="G219"/>
      <c r="H219">
        <f>E26</f>
        <v>0</v>
      </c>
      <c r="I219"/>
      <c r="X219" s="1234"/>
      <c r="Y219" s="1234"/>
      <c r="Z219" s="1234"/>
      <c r="AA219" s="1234"/>
      <c r="AB219" s="1234"/>
      <c r="AC219" s="1234"/>
      <c r="AD219" s="1234"/>
      <c r="AE219" s="1234"/>
      <c r="AF219" s="1234"/>
      <c r="AG219" s="1234"/>
      <c r="AH219" s="1234"/>
      <c r="AI219" s="1234"/>
      <c r="AJ219" s="1234"/>
      <c r="AK219" s="1234"/>
      <c r="AL219" s="1234"/>
      <c r="AM219" s="1234"/>
      <c r="AN219" s="1234"/>
      <c r="AO219" s="1234"/>
      <c r="AP219" s="1234"/>
      <c r="AQ219" s="1234"/>
    </row>
    <row r="220" spans="2:43" ht="15.65" customHeight="1" x14ac:dyDescent="0.25">
      <c r="B220"/>
      <c r="C220"/>
      <c r="D220"/>
      <c r="E220" t="s">
        <v>937</v>
      </c>
      <c r="F220" t="s">
        <v>411</v>
      </c>
      <c r="G220"/>
      <c r="H220" s="230">
        <f>iq_batchBegins</f>
        <v>0</v>
      </c>
      <c r="I220"/>
      <c r="X220" s="1234"/>
      <c r="Y220" s="1912"/>
      <c r="Z220" s="1912"/>
      <c r="AA220" s="1234"/>
      <c r="AB220" s="1314"/>
      <c r="AC220" s="1315"/>
      <c r="AD220" s="1234"/>
      <c r="AE220" s="1234"/>
      <c r="AF220" s="1234"/>
      <c r="AG220" s="1234"/>
      <c r="AH220" s="1234"/>
      <c r="AI220" s="1234"/>
      <c r="AJ220" s="1234"/>
      <c r="AK220" s="1234"/>
      <c r="AL220" s="1234"/>
      <c r="AM220" s="1234"/>
      <c r="AN220" s="1234"/>
      <c r="AO220" s="1234"/>
      <c r="AP220" s="1234"/>
      <c r="AQ220" s="1234"/>
    </row>
    <row r="221" spans="2:43" ht="15.65" customHeight="1" x14ac:dyDescent="0.25">
      <c r="B221"/>
      <c r="C221"/>
      <c r="D221"/>
      <c r="E221" t="s">
        <v>937</v>
      </c>
      <c r="F221" t="s">
        <v>412</v>
      </c>
      <c r="G221"/>
      <c r="H221" s="230">
        <f>iq_batchEnd</f>
        <v>0</v>
      </c>
      <c r="I221"/>
      <c r="X221" s="1234"/>
      <c r="Y221" s="1368"/>
      <c r="Z221" s="1368"/>
      <c r="AA221" s="1912"/>
      <c r="AB221" s="1912"/>
      <c r="AC221" s="1315"/>
      <c r="AD221" s="1234"/>
      <c r="AE221" s="1234"/>
      <c r="AF221" s="1234"/>
      <c r="AG221" s="1234"/>
      <c r="AH221" s="1234"/>
      <c r="AI221" s="1234"/>
      <c r="AJ221" s="1234"/>
      <c r="AK221" s="1234"/>
      <c r="AL221" s="1234"/>
      <c r="AM221" s="1234"/>
      <c r="AN221" s="1234"/>
      <c r="AO221" s="1234"/>
      <c r="AP221" s="1234"/>
      <c r="AQ221" s="1234"/>
    </row>
    <row r="222" spans="2:43" x14ac:dyDescent="0.25">
      <c r="B222"/>
      <c r="C222"/>
      <c r="D222"/>
      <c r="E222" t="s">
        <v>937</v>
      </c>
      <c r="F222" t="s">
        <v>413</v>
      </c>
      <c r="G222"/>
      <c r="H222">
        <f>lohcDehyd_quantityProduced_tonnes*1000</f>
        <v>0</v>
      </c>
      <c r="I222" t="s">
        <v>394</v>
      </c>
      <c r="X222" s="1234"/>
      <c r="Y222" s="1368"/>
      <c r="Z222" s="1368"/>
      <c r="AA222" s="1912"/>
      <c r="AB222" s="1912"/>
      <c r="AC222" s="1314"/>
      <c r="AD222" s="1369"/>
      <c r="AE222" s="1369"/>
      <c r="AF222" s="1369"/>
      <c r="AG222" s="1369"/>
      <c r="AH222" s="1369"/>
      <c r="AI222" s="1369"/>
      <c r="AJ222" s="1369"/>
      <c r="AK222" s="1369"/>
      <c r="AL222" s="1234"/>
      <c r="AM222" s="1234"/>
      <c r="AN222" s="1234"/>
      <c r="AO222" s="1234"/>
      <c r="AP222" s="1234"/>
      <c r="AQ222" s="1234"/>
    </row>
    <row r="223" spans="2:43" x14ac:dyDescent="0.25">
      <c r="B223"/>
      <c r="C223"/>
      <c r="D223"/>
      <c r="E223" t="s">
        <v>937</v>
      </c>
      <c r="F223" t="s">
        <v>414</v>
      </c>
      <c r="G223"/>
      <c r="H223" cm="1">
        <f t="array" aca="1" ref="H223" ca="1">overall_totalImportedElectricity*VLOOKUP(_xlfn.TEXTAFTER(CELL("filename",$A$1),"]"),ElectricityPortionsByPathwayTable[],2,FALSE)</f>
        <v>0</v>
      </c>
      <c r="I223" t="s">
        <v>415</v>
      </c>
      <c r="X223" s="1234"/>
      <c r="Y223" s="1368"/>
      <c r="Z223" s="1368"/>
      <c r="AA223" s="1912"/>
      <c r="AB223" s="1912"/>
      <c r="AC223" s="1234"/>
      <c r="AD223" s="1369"/>
      <c r="AE223" s="1369"/>
      <c r="AF223" s="1369"/>
      <c r="AG223" s="1369"/>
      <c r="AH223" s="1369"/>
      <c r="AI223" s="1369"/>
      <c r="AJ223" s="1369"/>
      <c r="AK223" s="1369"/>
      <c r="AL223" s="1234"/>
      <c r="AM223" s="1234"/>
      <c r="AN223" s="1234"/>
      <c r="AO223" s="1234"/>
      <c r="AP223" s="1234"/>
      <c r="AQ223" s="1234"/>
    </row>
    <row r="224" spans="2:43" x14ac:dyDescent="0.25">
      <c r="B224"/>
      <c r="C224"/>
      <c r="D224"/>
      <c r="E224" t="s">
        <v>937</v>
      </c>
      <c r="F224" t="s">
        <v>416</v>
      </c>
      <c r="G224"/>
      <c r="H224" t="e">
        <f>overall_LocationEF</f>
        <v>#N/A</v>
      </c>
      <c r="I224" t="s">
        <v>569</v>
      </c>
      <c r="X224" s="1234"/>
      <c r="Y224" s="1912"/>
      <c r="Z224" s="1912"/>
      <c r="AA224" s="1234"/>
      <c r="AB224" s="1314"/>
      <c r="AC224" s="1315"/>
      <c r="AD224" s="1369"/>
      <c r="AE224" s="1369"/>
      <c r="AF224" s="1369"/>
      <c r="AG224" s="1369"/>
      <c r="AH224" s="1369"/>
      <c r="AI224" s="1369"/>
      <c r="AJ224" s="1369"/>
      <c r="AK224" s="1369"/>
      <c r="AL224" s="1234"/>
      <c r="AM224" s="1234"/>
      <c r="AN224" s="1234"/>
      <c r="AO224" s="1234"/>
      <c r="AP224" s="1234"/>
      <c r="AQ224" s="1234"/>
    </row>
    <row r="225" spans="2:43" x14ac:dyDescent="0.25">
      <c r="B225"/>
      <c r="C225"/>
      <c r="D225"/>
      <c r="E225" t="s">
        <v>937</v>
      </c>
      <c r="F225" t="s">
        <v>414</v>
      </c>
      <c r="G225"/>
      <c r="H225" cm="1">
        <f t="array" aca="1" ref="H225" ca="1">overall_totalImportedElectricity*VLOOKUP(_xlfn.TEXTAFTER(CELL("filename",$A$1),"]"),ElectricityPortionsByPathwayTable[],2,FALSE)</f>
        <v>0</v>
      </c>
      <c r="I225" t="s">
        <v>415</v>
      </c>
      <c r="X225" s="1234"/>
      <c r="Y225" s="1912"/>
      <c r="Z225" s="1912"/>
      <c r="AA225" s="1234"/>
      <c r="AB225" s="1314"/>
      <c r="AC225" s="1315"/>
      <c r="AD225" s="1369"/>
      <c r="AE225" s="1369"/>
      <c r="AF225" s="1369"/>
      <c r="AG225" s="1369"/>
      <c r="AH225" s="1369"/>
      <c r="AI225" s="1369"/>
      <c r="AJ225" s="1369"/>
      <c r="AK225" s="1369"/>
      <c r="AL225" s="1234"/>
      <c r="AM225" s="1234"/>
      <c r="AN225" s="1234"/>
      <c r="AO225" s="1234"/>
      <c r="AP225" s="1234"/>
      <c r="AQ225" s="1234"/>
    </row>
    <row r="226" spans="2:43" x14ac:dyDescent="0.25">
      <c r="B226"/>
      <c r="C226"/>
      <c r="D226"/>
      <c r="E226" t="s">
        <v>937</v>
      </c>
      <c r="F226" t="s">
        <v>98</v>
      </c>
      <c r="G226"/>
      <c r="H226" cm="1">
        <f t="array" aca="1" ref="H226" ca="1">'Electricity Usage'!$S22*VLOOKUP(_xlfn.TEXTAFTER(CELL("filename",$A$1),"]"),ElectricityPortionsByPathwayTable[],2,FALSE)</f>
        <v>0</v>
      </c>
      <c r="I226" t="s">
        <v>415</v>
      </c>
      <c r="X226" s="1234"/>
      <c r="Y226" s="1234"/>
      <c r="Z226" s="1234"/>
      <c r="AA226" s="1234"/>
      <c r="AB226" s="1314"/>
      <c r="AC226" s="1234"/>
      <c r="AD226" s="1369"/>
      <c r="AE226" s="1369"/>
      <c r="AF226" s="1369"/>
      <c r="AG226" s="1369"/>
      <c r="AH226" s="1369"/>
      <c r="AI226" s="1369"/>
      <c r="AJ226" s="1369"/>
      <c r="AK226" s="1369"/>
      <c r="AL226" s="1234"/>
      <c r="AM226" s="1234"/>
      <c r="AN226" s="1234"/>
      <c r="AO226" s="1234"/>
      <c r="AP226" s="1234"/>
      <c r="AQ226" s="1234"/>
    </row>
    <row r="227" spans="2:43" s="1164" customFormat="1" x14ac:dyDescent="0.25">
      <c r="B227"/>
      <c r="C227"/>
      <c r="D227"/>
      <c r="E227" t="s">
        <v>937</v>
      </c>
      <c r="F227" t="s">
        <v>99</v>
      </c>
      <c r="G227"/>
      <c r="H227" cm="1">
        <f t="array" aca="1" ref="H227" ca="1">'Electricity Usage'!$S23*VLOOKUP(_xlfn.TEXTAFTER(CELL("filename",$A$1),"]"),ElectricityPortionsByPathwayTable[],2,FALSE)</f>
        <v>0</v>
      </c>
      <c r="I227" t="s">
        <v>415</v>
      </c>
      <c r="X227" s="1234"/>
      <c r="Y227" s="1234"/>
      <c r="Z227" s="1234"/>
      <c r="AA227" s="1234"/>
      <c r="AB227" s="1234"/>
      <c r="AC227" s="1234"/>
      <c r="AD227" s="1234"/>
      <c r="AE227" s="1234"/>
      <c r="AF227" s="1234"/>
      <c r="AG227" s="1234"/>
      <c r="AH227" s="1234"/>
      <c r="AI227" s="1234"/>
      <c r="AJ227" s="1234"/>
      <c r="AK227" s="1234"/>
      <c r="AL227" s="1234"/>
      <c r="AM227" s="1234"/>
      <c r="AN227" s="1234"/>
      <c r="AO227" s="1234"/>
      <c r="AP227" s="1234"/>
      <c r="AQ227" s="1234"/>
    </row>
    <row r="228" spans="2:43" x14ac:dyDescent="0.25">
      <c r="B228"/>
      <c r="C228"/>
      <c r="D228"/>
      <c r="E228" t="s">
        <v>937</v>
      </c>
      <c r="F228" t="s">
        <v>100</v>
      </c>
      <c r="G228"/>
      <c r="H228" cm="1">
        <f t="array" aca="1" ref="H228" ca="1">'Electricity Usage'!$S24*VLOOKUP(_xlfn.TEXTAFTER(CELL("filename",$A$1),"]"),ElectricityPortionsByPathwayTable[],2,FALSE)</f>
        <v>0</v>
      </c>
      <c r="I228" t="s">
        <v>415</v>
      </c>
      <c r="X228" s="1234"/>
      <c r="Y228" s="1234"/>
      <c r="Z228" s="1234"/>
      <c r="AA228" s="1234"/>
      <c r="AB228" s="1234"/>
      <c r="AC228" s="1234"/>
      <c r="AD228" s="1234"/>
      <c r="AE228" s="1234"/>
      <c r="AF228" s="1234"/>
      <c r="AG228" s="1234"/>
      <c r="AH228" s="1234"/>
      <c r="AI228" s="1234"/>
      <c r="AJ228" s="1234"/>
      <c r="AK228" s="1234"/>
      <c r="AL228" s="1234"/>
      <c r="AM228" s="1234"/>
      <c r="AN228" s="1234"/>
      <c r="AO228" s="1234"/>
      <c r="AP228" s="1234"/>
      <c r="AQ228" s="1234"/>
    </row>
    <row r="229" spans="2:43" x14ac:dyDescent="0.25">
      <c r="B229"/>
      <c r="C229"/>
      <c r="D229"/>
      <c r="E229" t="s">
        <v>937</v>
      </c>
      <c r="F229" t="s">
        <v>101</v>
      </c>
      <c r="G229"/>
      <c r="H229" cm="1">
        <f t="array" aca="1" ref="H229" ca="1">'Electricity Usage'!$S25*VLOOKUP(_xlfn.TEXTAFTER(CELL("filename",$A$1),"]"),ElectricityPortionsByPathwayTable[],2,FALSE)</f>
        <v>0</v>
      </c>
      <c r="I229" t="s">
        <v>415</v>
      </c>
      <c r="X229" s="1234"/>
      <c r="Y229" s="1234"/>
      <c r="Z229" s="1234"/>
      <c r="AA229" s="1234"/>
      <c r="AB229" s="1234"/>
      <c r="AC229" s="1234"/>
      <c r="AD229" s="1234"/>
      <c r="AE229" s="1234"/>
      <c r="AF229" s="1234"/>
      <c r="AG229" s="1234"/>
      <c r="AH229" s="1234"/>
      <c r="AI229" s="1234"/>
      <c r="AJ229" s="1234"/>
      <c r="AK229" s="1234"/>
      <c r="AL229" s="1234"/>
      <c r="AM229" s="1234"/>
      <c r="AN229" s="1234"/>
      <c r="AO229" s="1234"/>
      <c r="AP229" s="1234"/>
      <c r="AQ229" s="1234"/>
    </row>
    <row r="230" spans="2:43" x14ac:dyDescent="0.25">
      <c r="B230"/>
      <c r="C230"/>
      <c r="D230"/>
      <c r="E230" t="s">
        <v>937</v>
      </c>
      <c r="F230" t="s">
        <v>418</v>
      </c>
      <c r="G230"/>
      <c r="H230" cm="1">
        <f t="array" aca="1" ref="H230" ca="1">overall_residualElectricity*VLOOKUP(_xlfn.TEXTAFTER(CELL("filename",A4),"]"),ElectricityPortionsByPathwayTable[],2,FALSE)</f>
        <v>0</v>
      </c>
      <c r="I230" t="s">
        <v>415</v>
      </c>
      <c r="X230" s="1234"/>
      <c r="Y230" s="1234"/>
      <c r="Z230" s="1234"/>
      <c r="AA230" s="1234"/>
      <c r="AB230" s="1234"/>
      <c r="AC230" s="1234"/>
      <c r="AD230" s="1234"/>
      <c r="AE230" s="1234"/>
      <c r="AF230" s="1234"/>
      <c r="AG230" s="1234"/>
      <c r="AH230" s="1234"/>
      <c r="AI230" s="1234"/>
      <c r="AJ230" s="1234"/>
      <c r="AK230" s="1234"/>
      <c r="AL230" s="1234"/>
      <c r="AM230" s="1234"/>
      <c r="AN230" s="1234"/>
      <c r="AO230" s="1234"/>
      <c r="AP230" s="1234"/>
      <c r="AQ230" s="1234"/>
    </row>
    <row r="231" spans="2:43" ht="15" customHeight="1" x14ac:dyDescent="0.25">
      <c r="B231"/>
      <c r="C231"/>
      <c r="D231"/>
      <c r="E231" t="s">
        <v>937</v>
      </c>
      <c r="F231" t="s">
        <v>419</v>
      </c>
      <c r="G231"/>
      <c r="H231">
        <f>overall_MarketEF</f>
        <v>0.95499999999999996</v>
      </c>
      <c r="I231" t="s">
        <v>824</v>
      </c>
      <c r="X231" s="1234"/>
      <c r="Y231" s="1234"/>
      <c r="Z231" s="1234"/>
      <c r="AA231" s="1234"/>
      <c r="AB231" s="1234"/>
      <c r="AC231" s="1234"/>
      <c r="AD231" s="1234"/>
      <c r="AE231" s="1234"/>
      <c r="AF231" s="1234"/>
      <c r="AG231" s="1234"/>
      <c r="AH231" s="1234"/>
      <c r="AI231" s="1234"/>
      <c r="AJ231" s="1234"/>
      <c r="AK231" s="1234"/>
      <c r="AL231" s="1234"/>
      <c r="AM231" s="1234"/>
      <c r="AN231" s="1234"/>
      <c r="AO231" s="1234"/>
      <c r="AP231" s="1234"/>
      <c r="AQ231" s="1234"/>
    </row>
    <row r="232" spans="2:43" ht="15" customHeight="1" x14ac:dyDescent="0.25">
      <c r="B232"/>
      <c r="C232"/>
      <c r="D232"/>
      <c r="E232" t="s">
        <v>937</v>
      </c>
      <c r="F232" t="s">
        <v>420</v>
      </c>
      <c r="G232"/>
      <c r="H232" cm="1">
        <f t="array" aca="1" ref="H232" ca="1">overall_totalOnsiteElecGen*VLOOKUP(_xlfn.TEXTAFTER(CELL("filename",$A$1),"]"),ElectricityPortionsByPathwayTable[],2,FALSE)</f>
        <v>0</v>
      </c>
      <c r="I232" t="s">
        <v>415</v>
      </c>
      <c r="X232" s="1234"/>
      <c r="Y232" s="1234"/>
      <c r="Z232" s="1234"/>
      <c r="AA232" s="1234"/>
      <c r="AB232" s="1234"/>
      <c r="AC232" s="1234"/>
      <c r="AD232" s="1234"/>
      <c r="AE232" s="1234"/>
      <c r="AF232" s="1234"/>
      <c r="AG232" s="1234"/>
      <c r="AH232" s="1234"/>
      <c r="AI232" s="1234"/>
      <c r="AJ232" s="1234"/>
      <c r="AK232" s="1234"/>
      <c r="AL232" s="1234"/>
      <c r="AM232" s="1234"/>
      <c r="AN232" s="1234"/>
      <c r="AO232" s="1234"/>
      <c r="AP232" s="1234"/>
      <c r="AQ232" s="1234"/>
    </row>
    <row r="233" spans="2:43" ht="15" customHeight="1" x14ac:dyDescent="0.25">
      <c r="B233"/>
      <c r="C233"/>
      <c r="D233"/>
      <c r="E233" t="s">
        <v>937</v>
      </c>
      <c r="F233" t="s">
        <v>421</v>
      </c>
      <c r="G233"/>
      <c r="H233" t="e">
        <f>overall_onsiteGenEF</f>
        <v>#DIV/0!</v>
      </c>
      <c r="I233" t="s">
        <v>825</v>
      </c>
      <c r="X233" s="1234"/>
      <c r="Y233" s="1234"/>
      <c r="Z233" s="1234"/>
      <c r="AA233" s="1234"/>
      <c r="AB233" s="1234"/>
      <c r="AC233" s="1234"/>
      <c r="AD233" s="1234"/>
      <c r="AE233" s="1234"/>
      <c r="AF233" s="1234"/>
      <c r="AG233" s="1234"/>
      <c r="AH233" s="1234"/>
      <c r="AI233" s="1234"/>
      <c r="AJ233" s="1234"/>
      <c r="AK233" s="1234"/>
      <c r="AL233" s="1234"/>
      <c r="AM233" s="1234"/>
      <c r="AN233" s="1234"/>
      <c r="AO233" s="1234"/>
      <c r="AP233" s="1234"/>
      <c r="AQ233" s="1234"/>
    </row>
    <row r="234" spans="2:43" ht="15" customHeight="1" x14ac:dyDescent="0.25">
      <c r="B234"/>
      <c r="C234"/>
      <c r="D234"/>
      <c r="E234" t="s">
        <v>937</v>
      </c>
      <c r="F234" t="s">
        <v>434</v>
      </c>
      <c r="G234">
        <f>'Electricity Usage'!$E$51</f>
        <v>0</v>
      </c>
      <c r="H234" t="str" cm="1">
        <f t="array" aca="1" ref="H234" ca="1">IF(_xlfn.ANCHORARRAY(G234)&lt;&gt;0,overall_CHPFuelElecAllocation*VLOOKUP(_xlfn.TEXTAFTER(CELL("filename",$A$1),"]"),ElectricityPortionsByPathwayTable[],3,FALSE) + overall_CHPFuelSteamAllocation *VLOOKUP(_xlfn.TEXTAFTER(CELL("filename",$A$1),"]"),ElectricityPortionsByPathwayTable[],4,FALSE),"")</f>
        <v/>
      </c>
      <c r="I234" t="str" cm="1">
        <f t="array" ref="I234">IF(_xlfn.ANCHORARRAY(G234)&lt;&gt;0,('Electricity Usage'!$S$51)*'Electricity Usage'!$T$51/1000,"")</f>
        <v/>
      </c>
      <c r="X234" s="1234"/>
      <c r="Y234" s="1234"/>
      <c r="Z234" s="1234"/>
      <c r="AA234" s="1234"/>
      <c r="AB234" s="1234"/>
      <c r="AC234" s="1234"/>
      <c r="AD234" s="1234"/>
      <c r="AE234" s="1234"/>
      <c r="AF234" s="1234"/>
      <c r="AG234" s="1234"/>
      <c r="AH234" s="1234"/>
      <c r="AI234" s="1234"/>
      <c r="AJ234" s="1234"/>
      <c r="AK234" s="1234"/>
      <c r="AL234" s="1234"/>
      <c r="AM234" s="1234"/>
      <c r="AN234" s="1234"/>
      <c r="AO234" s="1234"/>
      <c r="AP234" s="1234"/>
      <c r="AQ234" s="1234"/>
    </row>
    <row r="235" spans="2:43" ht="15" customHeight="1" x14ac:dyDescent="0.25">
      <c r="B235"/>
      <c r="C235"/>
      <c r="D235"/>
      <c r="E235" t="s">
        <v>937</v>
      </c>
      <c r="F235" t="s">
        <v>435</v>
      </c>
      <c r="G235">
        <f>'Electricity Usage'!$E$38</f>
        <v>0</v>
      </c>
      <c r="H235" t="str" cm="1">
        <f t="array" aca="1" ref="H235" ca="1">IF(_xlfn.ANCHORARRAY(G235)&lt;&gt;0,overall_otherOnsiteElecGenViaCombustionFuelAmount*VLOOKUP(_xlfn.TEXTAFTER(CELL("filename",$A$1),"]"),ElectricityPortionsByPathwayTable[],3,FALSE),"")</f>
        <v/>
      </c>
      <c r="I235" t="str" cm="1">
        <f t="array" ref="I235">IF(_xlfn.ANCHORARRAY(G235)&lt;&gt;0,('Electricity Usage'!$S$38)*'Electricity Usage'!$T$38/1000,"")</f>
        <v/>
      </c>
      <c r="X235" s="1234"/>
      <c r="Y235" s="1234"/>
      <c r="Z235" s="1234"/>
      <c r="AA235" s="1234"/>
      <c r="AB235" s="1234"/>
      <c r="AC235" s="1234"/>
      <c r="AD235" s="1234"/>
      <c r="AE235" s="1234"/>
      <c r="AF235" s="1234"/>
      <c r="AG235" s="1234"/>
      <c r="AH235" s="1234"/>
      <c r="AI235" s="1234"/>
      <c r="AJ235" s="1234"/>
      <c r="AK235" s="1234"/>
      <c r="AL235" s="1234"/>
      <c r="AM235" s="1234"/>
      <c r="AN235" s="1234"/>
      <c r="AO235" s="1234"/>
      <c r="AP235" s="1234"/>
      <c r="AQ235" s="1234"/>
    </row>
    <row r="236" spans="2:43" x14ac:dyDescent="0.25">
      <c r="B236"/>
      <c r="C236"/>
      <c r="D236"/>
      <c r="E236" t="s">
        <v>937</v>
      </c>
      <c r="F236" t="s">
        <v>436</v>
      </c>
      <c r="G236">
        <f>F95</f>
        <v>0</v>
      </c>
      <c r="H236" t="e">
        <f>AB95*1000</f>
        <v>#N/A</v>
      </c>
      <c r="I236" t="e">
        <f>(Y95)*Z95/1000</f>
        <v>#VALUE!</v>
      </c>
      <c r="X236" s="1234"/>
      <c r="Y236" s="1913"/>
      <c r="Z236" s="1913"/>
      <c r="AA236" s="1234"/>
      <c r="AB236" s="1314"/>
      <c r="AC236" s="1315"/>
      <c r="AD236" s="1234"/>
      <c r="AE236" s="1234"/>
      <c r="AF236" s="1234"/>
      <c r="AG236" s="1234"/>
      <c r="AH236" s="1234"/>
      <c r="AI236" s="1234"/>
      <c r="AJ236" s="1234"/>
      <c r="AK236" s="1234"/>
      <c r="AL236" s="1234"/>
      <c r="AM236" s="1234"/>
      <c r="AN236" s="1234"/>
      <c r="AO236" s="1234"/>
      <c r="AP236" s="1234"/>
      <c r="AQ236" s="1234"/>
    </row>
    <row r="237" spans="2:43" x14ac:dyDescent="0.25">
      <c r="B237"/>
      <c r="C237"/>
      <c r="D237"/>
      <c r="E237" t="s">
        <v>937</v>
      </c>
      <c r="F237" t="s">
        <v>437</v>
      </c>
      <c r="G237">
        <f>F96</f>
        <v>0</v>
      </c>
      <c r="H237" t="e">
        <f>AB96*1000</f>
        <v>#N/A</v>
      </c>
      <c r="I237" t="e">
        <f>(Y96)*Z96/1000</f>
        <v>#VALUE!</v>
      </c>
      <c r="X237" s="1234"/>
      <c r="Y237" s="1913"/>
      <c r="Z237" s="1913"/>
      <c r="AA237" s="1234"/>
      <c r="AB237" s="1314"/>
      <c r="AC237" s="1315"/>
      <c r="AD237" s="1234"/>
      <c r="AE237" s="1234"/>
      <c r="AF237" s="1234"/>
      <c r="AG237" s="1234"/>
      <c r="AH237" s="1234"/>
      <c r="AI237" s="1234"/>
      <c r="AJ237" s="1234"/>
      <c r="AK237" s="1234"/>
      <c r="AL237" s="1234"/>
      <c r="AM237" s="1234"/>
      <c r="AN237" s="1234"/>
      <c r="AO237" s="1234"/>
      <c r="AP237" s="1234"/>
      <c r="AQ237" s="1234"/>
    </row>
    <row r="238" spans="2:43" x14ac:dyDescent="0.25">
      <c r="B238"/>
      <c r="C238"/>
      <c r="D238"/>
      <c r="E238" t="s">
        <v>937</v>
      </c>
      <c r="F238" t="s">
        <v>438</v>
      </c>
      <c r="G238">
        <f>F97</f>
        <v>0</v>
      </c>
      <c r="H238" t="e">
        <f>AB97*1000</f>
        <v>#N/A</v>
      </c>
      <c r="I238" t="e">
        <f>(Y97)*Z97/1000</f>
        <v>#VALUE!</v>
      </c>
      <c r="X238" s="1234"/>
      <c r="Y238" s="1234"/>
      <c r="Z238" s="1234"/>
      <c r="AA238" s="1234"/>
      <c r="AB238" s="1234"/>
      <c r="AC238" s="1234"/>
      <c r="AD238" s="1234"/>
      <c r="AE238" s="1234"/>
      <c r="AF238" s="1234"/>
      <c r="AG238" s="1234"/>
      <c r="AH238" s="1234"/>
      <c r="AI238" s="1234"/>
      <c r="AJ238" s="1234"/>
      <c r="AK238" s="1234"/>
      <c r="AL238" s="1234"/>
      <c r="AM238" s="1234"/>
      <c r="AN238" s="1234"/>
      <c r="AO238" s="1234"/>
      <c r="AP238" s="1234"/>
      <c r="AQ238" s="1234"/>
    </row>
    <row r="239" spans="2:43" s="1164" customFormat="1" x14ac:dyDescent="0.25">
      <c r="B239"/>
      <c r="C239"/>
      <c r="D239"/>
      <c r="E239" t="s">
        <v>937</v>
      </c>
      <c r="F239" t="s">
        <v>439</v>
      </c>
      <c r="G239">
        <f>F98</f>
        <v>0</v>
      </c>
      <c r="H239" t="e">
        <f>AB98*1000</f>
        <v>#N/A</v>
      </c>
      <c r="I239" t="e">
        <f>(Y98)*Z98/1000</f>
        <v>#VALUE!</v>
      </c>
      <c r="X239" s="1234"/>
      <c r="Y239" s="1234"/>
      <c r="Z239" s="1234"/>
      <c r="AA239" s="1234"/>
      <c r="AB239" s="1234"/>
      <c r="AC239" s="1234"/>
      <c r="AD239" s="1234"/>
      <c r="AE239" s="1234"/>
      <c r="AF239" s="1234"/>
      <c r="AG239" s="1234"/>
      <c r="AH239" s="1234"/>
      <c r="AI239" s="1234"/>
      <c r="AJ239" s="1234"/>
      <c r="AK239" s="1234"/>
      <c r="AL239" s="1234"/>
      <c r="AM239" s="1234"/>
      <c r="AN239" s="1234"/>
      <c r="AO239" s="1234"/>
      <c r="AP239" s="1234"/>
      <c r="AQ239" s="1234"/>
    </row>
    <row r="240" spans="2:43" x14ac:dyDescent="0.25">
      <c r="B240"/>
      <c r="C240"/>
      <c r="D240"/>
      <c r="E240" t="s">
        <v>937</v>
      </c>
      <c r="F240" t="s">
        <v>440</v>
      </c>
      <c r="G240">
        <f>F99</f>
        <v>0</v>
      </c>
      <c r="H240" t="e">
        <f>AB99*1000</f>
        <v>#N/A</v>
      </c>
      <c r="I240" t="e">
        <f>(Y99)*Z99/1000</f>
        <v>#VALUE!</v>
      </c>
      <c r="Y240" s="1164"/>
      <c r="Z240" s="1164"/>
      <c r="AA240" s="1164"/>
      <c r="AB240" s="1164"/>
      <c r="AC240" s="1164"/>
      <c r="AD240" s="1164"/>
      <c r="AE240" s="1164"/>
      <c r="AF240" s="1164"/>
      <c r="AG240" s="1164"/>
      <c r="AH240" s="1164"/>
      <c r="AI240" s="1164"/>
      <c r="AJ240" s="1164"/>
      <c r="AK240" s="1164"/>
      <c r="AL240" s="1164"/>
      <c r="AM240" s="1164"/>
      <c r="AN240" s="1164"/>
      <c r="AO240" s="1164"/>
      <c r="AP240" s="1164"/>
      <c r="AQ240" s="1164"/>
    </row>
    <row r="241" spans="2:43" x14ac:dyDescent="0.25">
      <c r="B241"/>
      <c r="C241"/>
      <c r="D241"/>
      <c r="E241" t="s">
        <v>937</v>
      </c>
      <c r="F241" t="s">
        <v>423</v>
      </c>
      <c r="G241">
        <f>E33</f>
        <v>0</v>
      </c>
      <c r="H241" t="e">
        <f>AB33</f>
        <v>#N/A</v>
      </c>
      <c r="I241" t="e">
        <f>O33/AB33</f>
        <v>#N/A</v>
      </c>
    </row>
    <row r="242" spans="2:43" x14ac:dyDescent="0.25">
      <c r="B242"/>
      <c r="C242"/>
      <c r="D242"/>
      <c r="E242" t="s">
        <v>937</v>
      </c>
      <c r="F242" t="s">
        <v>424</v>
      </c>
      <c r="G242">
        <f>E34</f>
        <v>0</v>
      </c>
      <c r="H242" t="e">
        <f>AB34</f>
        <v>#N/A</v>
      </c>
      <c r="I242" t="e">
        <f>O34/AB34</f>
        <v>#N/A</v>
      </c>
    </row>
    <row r="243" spans="2:43" x14ac:dyDescent="0.25">
      <c r="B243"/>
      <c r="C243"/>
      <c r="D243"/>
      <c r="E243" t="s">
        <v>937</v>
      </c>
      <c r="F243" t="s">
        <v>425</v>
      </c>
      <c r="G243">
        <f>E35</f>
        <v>0</v>
      </c>
      <c r="H243" t="e">
        <f>AB35</f>
        <v>#N/A</v>
      </c>
      <c r="I243" t="e">
        <f>O35/AB35</f>
        <v>#N/A</v>
      </c>
    </row>
    <row r="244" spans="2:43" x14ac:dyDescent="0.25">
      <c r="B244"/>
      <c r="C244"/>
      <c r="D244"/>
      <c r="E244" t="s">
        <v>937</v>
      </c>
      <c r="F244" t="s">
        <v>426</v>
      </c>
      <c r="G244">
        <f>E42</f>
        <v>0</v>
      </c>
      <c r="H244" t="e">
        <f>AB42*VLOOKUP("m3",Table13[],2,FALSE)</f>
        <v>#N/A</v>
      </c>
      <c r="I244" t="e">
        <f>O42/(AB42*VLOOKUP("m3",Table13[],2,FALSE))</f>
        <v>#N/A</v>
      </c>
    </row>
    <row r="245" spans="2:43" x14ac:dyDescent="0.25">
      <c r="B245"/>
      <c r="C245"/>
      <c r="D245"/>
      <c r="E245" t="s">
        <v>937</v>
      </c>
      <c r="F245" t="s">
        <v>428</v>
      </c>
      <c r="G245">
        <f>E68</f>
        <v>0</v>
      </c>
      <c r="H245" t="e">
        <f>Y68</f>
        <v>#N/A</v>
      </c>
      <c r="I245" t="e">
        <f>AD68</f>
        <v>#N/A</v>
      </c>
      <c r="Z245" s="1316"/>
      <c r="AA245" s="1316"/>
    </row>
    <row r="246" spans="2:43" x14ac:dyDescent="0.25">
      <c r="B246"/>
      <c r="C246"/>
      <c r="D246"/>
      <c r="E246" t="s">
        <v>937</v>
      </c>
      <c r="F246" t="s">
        <v>429</v>
      </c>
      <c r="G246">
        <f>E69</f>
        <v>0</v>
      </c>
      <c r="H246" t="e">
        <f>Y69</f>
        <v>#N/A</v>
      </c>
      <c r="I246" t="e">
        <f>AD69</f>
        <v>#N/A</v>
      </c>
      <c r="Y246" s="1164"/>
      <c r="Z246" s="1164"/>
      <c r="AA246" s="1164"/>
      <c r="AB246" s="1164"/>
      <c r="AC246" s="1164"/>
      <c r="AD246" s="1164"/>
      <c r="AE246" s="1164"/>
      <c r="AF246" s="1164"/>
      <c r="AG246" s="1164"/>
      <c r="AH246" s="1164"/>
      <c r="AI246" s="1164"/>
      <c r="AJ246" s="1164"/>
      <c r="AK246" s="1164"/>
      <c r="AL246" s="1164"/>
      <c r="AM246" s="1164"/>
      <c r="AN246" s="1164"/>
      <c r="AO246" s="1164"/>
      <c r="AP246" s="1164"/>
      <c r="AQ246" s="1164"/>
    </row>
    <row r="247" spans="2:43" x14ac:dyDescent="0.25">
      <c r="B247"/>
      <c r="C247"/>
      <c r="D247"/>
      <c r="E247" t="s">
        <v>937</v>
      </c>
      <c r="F247" t="s">
        <v>430</v>
      </c>
      <c r="G247">
        <f>E70</f>
        <v>0</v>
      </c>
      <c r="H247" t="e">
        <f>Y70</f>
        <v>#N/A</v>
      </c>
      <c r="I247" t="e">
        <f>AD70</f>
        <v>#N/A</v>
      </c>
    </row>
    <row r="248" spans="2:43" x14ac:dyDescent="0.25">
      <c r="B248"/>
      <c r="C248"/>
      <c r="D248"/>
      <c r="E248" t="s">
        <v>937</v>
      </c>
      <c r="F248" t="s">
        <v>431</v>
      </c>
      <c r="G248"/>
      <c r="H248" t="e">
        <f>Z148</f>
        <v>#N/A</v>
      </c>
      <c r="I248" t="e">
        <f>Y148</f>
        <v>#N/A</v>
      </c>
    </row>
    <row r="249" spans="2:43" x14ac:dyDescent="0.25">
      <c r="B249"/>
      <c r="C249"/>
      <c r="D249"/>
      <c r="E249" t="s">
        <v>937</v>
      </c>
      <c r="F249" t="s">
        <v>432</v>
      </c>
      <c r="G249"/>
      <c r="H249" t="e">
        <f>Z149</f>
        <v>#N/A</v>
      </c>
      <c r="I249" t="e">
        <f>Y149</f>
        <v>#N/A</v>
      </c>
      <c r="Y249" s="1316"/>
    </row>
    <row r="250" spans="2:43" x14ac:dyDescent="0.25">
      <c r="B250"/>
      <c r="C250"/>
      <c r="D250"/>
      <c r="E250" t="s">
        <v>937</v>
      </c>
      <c r="F250" t="s">
        <v>433</v>
      </c>
      <c r="G250"/>
      <c r="H250" t="e">
        <f>Z150</f>
        <v>#N/A</v>
      </c>
      <c r="I250" t="e">
        <f>Y150</f>
        <v>#N/A</v>
      </c>
      <c r="Y250" s="1914"/>
      <c r="Z250" s="1914"/>
      <c r="AB250" s="1316"/>
    </row>
    <row r="251" spans="2:43" s="1164" customFormat="1" x14ac:dyDescent="0.25">
      <c r="B251"/>
      <c r="C251"/>
      <c r="D251"/>
      <c r="E251" t="s">
        <v>937</v>
      </c>
      <c r="F251" t="s">
        <v>461</v>
      </c>
      <c r="G251"/>
      <c r="H251">
        <f>SUMIF(AA148:AA150,"&gt;0")+SUMIF(Y60,"&gt;0")</f>
        <v>0</v>
      </c>
      <c r="I251" t="s">
        <v>90</v>
      </c>
      <c r="Y251" s="1914"/>
      <c r="Z251" s="1914"/>
      <c r="AA251" s="1069"/>
      <c r="AB251" s="1069"/>
      <c r="AC251" s="1069"/>
      <c r="AD251" s="1069"/>
      <c r="AE251" s="1069"/>
      <c r="AF251" s="1069"/>
      <c r="AG251" s="1069"/>
      <c r="AH251" s="1069"/>
      <c r="AI251" s="1069"/>
      <c r="AJ251" s="1069"/>
      <c r="AK251" s="1069"/>
      <c r="AL251" s="1069"/>
      <c r="AM251" s="1069"/>
      <c r="AN251" s="1069"/>
      <c r="AO251" s="1069"/>
      <c r="AP251" s="1069"/>
      <c r="AQ251" s="1069"/>
    </row>
    <row r="252" spans="2:43" x14ac:dyDescent="0.25">
      <c r="B252"/>
      <c r="C252"/>
      <c r="D252"/>
      <c r="E252" t="s">
        <v>937</v>
      </c>
      <c r="F252" t="s">
        <v>462</v>
      </c>
      <c r="G252"/>
      <c r="H252">
        <f>SUMIF(Z148:Z150,"&gt;0")</f>
        <v>0</v>
      </c>
      <c r="I252" t="s">
        <v>90</v>
      </c>
    </row>
    <row r="253" spans="2:43" x14ac:dyDescent="0.25">
      <c r="B253"/>
      <c r="C253"/>
      <c r="D253"/>
      <c r="E253" t="s">
        <v>937</v>
      </c>
      <c r="F253" t="s">
        <v>463</v>
      </c>
      <c r="G253"/>
      <c r="H253">
        <f>Y141</f>
        <v>0</v>
      </c>
      <c r="I253" t="s">
        <v>415</v>
      </c>
    </row>
    <row r="254" spans="2:43" x14ac:dyDescent="0.25">
      <c r="B254"/>
      <c r="C254"/>
      <c r="D254"/>
      <c r="E254" t="s">
        <v>937</v>
      </c>
      <c r="F254" t="s">
        <v>467</v>
      </c>
      <c r="G254"/>
      <c r="H254">
        <v>0</v>
      </c>
      <c r="I254" t="s">
        <v>90</v>
      </c>
    </row>
    <row r="255" spans="2:43" x14ac:dyDescent="0.25">
      <c r="B255"/>
      <c r="C255"/>
      <c r="D255"/>
      <c r="E255" t="s">
        <v>937</v>
      </c>
      <c r="F255" t="s">
        <v>472</v>
      </c>
      <c r="G255"/>
      <c r="H255">
        <v>0</v>
      </c>
      <c r="I255" t="s">
        <v>90</v>
      </c>
    </row>
    <row r="256" spans="2:43" x14ac:dyDescent="0.25">
      <c r="B256"/>
      <c r="C256"/>
      <c r="D256"/>
      <c r="E256" t="s">
        <v>937</v>
      </c>
      <c r="F256" t="s">
        <v>911</v>
      </c>
      <c r="G256"/>
      <c r="H256" t="e">
        <f>Z157</f>
        <v>#N/A</v>
      </c>
      <c r="I256" t="s">
        <v>90</v>
      </c>
    </row>
    <row r="257" spans="2:43" s="1164" customFormat="1" x14ac:dyDescent="0.25">
      <c r="B257"/>
      <c r="C257"/>
      <c r="D257"/>
      <c r="E257" t="s">
        <v>937</v>
      </c>
      <c r="F257" t="s">
        <v>912</v>
      </c>
      <c r="G257"/>
      <c r="H257" t="e">
        <f>Y157</f>
        <v>#N/A</v>
      </c>
      <c r="I257" t="s">
        <v>90</v>
      </c>
      <c r="Y257" s="1069"/>
      <c r="Z257" s="1069"/>
      <c r="AA257" s="1069"/>
      <c r="AB257" s="1069"/>
      <c r="AC257" s="1069"/>
      <c r="AD257" s="1069"/>
      <c r="AE257" s="1069"/>
      <c r="AF257" s="1069"/>
      <c r="AG257" s="1069"/>
      <c r="AH257" s="1069"/>
      <c r="AI257" s="1069"/>
      <c r="AJ257" s="1069"/>
      <c r="AK257" s="1069"/>
      <c r="AL257" s="1069"/>
      <c r="AM257" s="1069"/>
      <c r="AN257" s="1069"/>
      <c r="AO257" s="1069"/>
      <c r="AP257" s="1069"/>
      <c r="AQ257" s="1069"/>
    </row>
    <row r="258" spans="2:43" x14ac:dyDescent="0.25">
      <c r="B258"/>
      <c r="C258"/>
      <c r="D258"/>
      <c r="E258" t="s">
        <v>937</v>
      </c>
      <c r="F258" t="s">
        <v>913</v>
      </c>
      <c r="G258"/>
      <c r="H258" t="e">
        <f>Z158</f>
        <v>#N/A</v>
      </c>
      <c r="I258" t="s">
        <v>90</v>
      </c>
    </row>
    <row r="259" spans="2:43" x14ac:dyDescent="0.25">
      <c r="B259"/>
      <c r="C259"/>
      <c r="D259"/>
      <c r="E259" t="s">
        <v>937</v>
      </c>
      <c r="F259" t="s">
        <v>914</v>
      </c>
      <c r="G259"/>
      <c r="H259" t="e">
        <f>Y158</f>
        <v>#N/A</v>
      </c>
      <c r="I259" t="s">
        <v>90</v>
      </c>
    </row>
    <row r="260" spans="2:43" x14ac:dyDescent="0.25">
      <c r="B260"/>
      <c r="C260"/>
      <c r="D260"/>
      <c r="E260" t="s">
        <v>937</v>
      </c>
      <c r="F260" t="s">
        <v>454</v>
      </c>
      <c r="G260"/>
      <c r="H260">
        <f>iq_ccsStorage</f>
        <v>0</v>
      </c>
      <c r="I260"/>
    </row>
    <row r="261" spans="2:43" x14ac:dyDescent="0.25">
      <c r="B261"/>
      <c r="C261"/>
      <c r="D261"/>
      <c r="E261" t="s">
        <v>937</v>
      </c>
      <c r="F261" t="s">
        <v>65</v>
      </c>
      <c r="G261"/>
      <c r="H261">
        <f>iq_ccsLocation</f>
        <v>0</v>
      </c>
      <c r="I261"/>
    </row>
    <row r="262" spans="2:43" x14ac:dyDescent="0.25">
      <c r="B262"/>
      <c r="C262"/>
      <c r="D262"/>
      <c r="E262" t="s">
        <v>937</v>
      </c>
      <c r="F262" t="s">
        <v>455</v>
      </c>
      <c r="G262"/>
      <c r="H262">
        <f>iq_ccsTransport</f>
        <v>0</v>
      </c>
      <c r="I262"/>
    </row>
    <row r="263" spans="2:43" x14ac:dyDescent="0.25">
      <c r="B263"/>
      <c r="C263"/>
      <c r="D263"/>
      <c r="E263" t="s">
        <v>937</v>
      </c>
      <c r="F263" t="s">
        <v>456</v>
      </c>
      <c r="G263"/>
      <c r="H263">
        <f>Y119</f>
        <v>0</v>
      </c>
      <c r="I263" t="s">
        <v>90</v>
      </c>
    </row>
    <row r="264" spans="2:43" x14ac:dyDescent="0.25">
      <c r="B264"/>
      <c r="C264"/>
      <c r="D264"/>
      <c r="E264" t="s">
        <v>937</v>
      </c>
      <c r="F264" t="s">
        <v>457</v>
      </c>
      <c r="G264"/>
      <c r="H264">
        <f>Y124</f>
        <v>0</v>
      </c>
      <c r="I264" t="s">
        <v>90</v>
      </c>
    </row>
    <row r="265" spans="2:43" x14ac:dyDescent="0.25">
      <c r="B265"/>
      <c r="C265"/>
      <c r="D265"/>
      <c r="E265" t="s">
        <v>937</v>
      </c>
      <c r="F265" t="s">
        <v>458</v>
      </c>
      <c r="G265"/>
      <c r="H265">
        <f>Y120</f>
        <v>0</v>
      </c>
      <c r="I265" t="s">
        <v>90</v>
      </c>
    </row>
    <row r="266" spans="2:43" x14ac:dyDescent="0.25">
      <c r="B266"/>
      <c r="C266"/>
      <c r="D266"/>
      <c r="E266" t="s">
        <v>937</v>
      </c>
      <c r="F266" t="s">
        <v>915</v>
      </c>
      <c r="G266"/>
      <c r="H266">
        <f>SUM(O121:O122)</f>
        <v>0</v>
      </c>
      <c r="I266" t="s">
        <v>90</v>
      </c>
    </row>
    <row r="267" spans="2:43" x14ac:dyDescent="0.25">
      <c r="B267"/>
      <c r="C267"/>
      <c r="D267"/>
      <c r="E267" t="s">
        <v>937</v>
      </c>
      <c r="F267" t="s">
        <v>460</v>
      </c>
      <c r="G267"/>
      <c r="H267">
        <f>SUM(O123)</f>
        <v>0</v>
      </c>
      <c r="I267" t="s">
        <v>90</v>
      </c>
    </row>
    <row r="268" spans="2:43" x14ac:dyDescent="0.25">
      <c r="B268"/>
      <c r="C268"/>
      <c r="D268"/>
      <c r="E268" t="s">
        <v>937</v>
      </c>
      <c r="F268" t="s">
        <v>917</v>
      </c>
      <c r="G268">
        <f>F88</f>
        <v>0</v>
      </c>
      <c r="H268" t="e">
        <f>AB88*1000</f>
        <v>#N/A</v>
      </c>
      <c r="I268" t="e">
        <f>Y88*Z88/1000</f>
        <v>#VALUE!</v>
      </c>
    </row>
    <row r="269" spans="2:43" x14ac:dyDescent="0.25">
      <c r="B269"/>
      <c r="C269"/>
      <c r="D269"/>
      <c r="E269" t="s">
        <v>937</v>
      </c>
      <c r="F269" t="s">
        <v>401</v>
      </c>
      <c r="G269"/>
      <c r="H269">
        <f>iq_name</f>
        <v>0</v>
      </c>
      <c r="I269"/>
    </row>
    <row r="270" spans="2:43" x14ac:dyDescent="0.25">
      <c r="B270"/>
      <c r="C270"/>
      <c r="D270"/>
      <c r="E270" t="s">
        <v>937</v>
      </c>
      <c r="F270" t="s">
        <v>402</v>
      </c>
      <c r="G270"/>
      <c r="H270">
        <f>iq_location</f>
        <v>0</v>
      </c>
      <c r="I270"/>
    </row>
    <row r="271" spans="2:43" x14ac:dyDescent="0.25">
      <c r="B271"/>
      <c r="C271"/>
      <c r="D271"/>
      <c r="E271" t="s">
        <v>937</v>
      </c>
      <c r="F271" t="s">
        <v>403</v>
      </c>
      <c r="G271"/>
      <c r="H271">
        <f>lohcDehyd_annualCapacity_tonnes</f>
        <v>0</v>
      </c>
      <c r="I271" t="s">
        <v>916</v>
      </c>
    </row>
    <row r="272" spans="2:43" x14ac:dyDescent="0.25">
      <c r="B272"/>
      <c r="C272"/>
      <c r="D272"/>
      <c r="E272" t="s">
        <v>937</v>
      </c>
      <c r="F272" t="s">
        <v>405</v>
      </c>
      <c r="G272"/>
      <c r="H272">
        <f>iq_commencement</f>
        <v>0</v>
      </c>
      <c r="I272"/>
    </row>
    <row r="273" spans="2:9" x14ac:dyDescent="0.25">
      <c r="B273"/>
      <c r="C273"/>
      <c r="D273"/>
      <c r="E273"/>
      <c r="F273"/>
      <c r="G273"/>
      <c r="H273"/>
    </row>
    <row r="274" spans="2:9" x14ac:dyDescent="0.25">
      <c r="B274"/>
      <c r="C274"/>
      <c r="D274"/>
      <c r="E274"/>
      <c r="F274"/>
      <c r="G274"/>
      <c r="H274"/>
    </row>
    <row r="275" spans="2:9" x14ac:dyDescent="0.25">
      <c r="B275"/>
      <c r="C275"/>
      <c r="D275"/>
      <c r="E275" s="1489" t="s">
        <v>479</v>
      </c>
      <c r="F275" s="1489" t="s">
        <v>575</v>
      </c>
      <c r="G275" s="1489" t="s">
        <v>481</v>
      </c>
      <c r="H275" s="1489" t="s">
        <v>482</v>
      </c>
      <c r="I275" s="1490" t="s">
        <v>483</v>
      </c>
    </row>
    <row r="276" spans="2:9" x14ac:dyDescent="0.25">
      <c r="B276"/>
      <c r="C276"/>
      <c r="D276"/>
      <c r="E276" t="str">
        <f>'Hidden Lists and Summaries'!$B$5</f>
        <v>Embodied (Upstream)</v>
      </c>
      <c r="F276" t="s">
        <v>939</v>
      </c>
      <c r="G276" t="e">
        <f t="shared" ref="G276:G285" ca="1" si="9">H276/lohcDehyd_quantityProduced_tonnes</f>
        <v>#VALUE!</v>
      </c>
      <c r="H276" t="e">
        <f ca="1">SUMIFS($AH$36:$AH$135,$AL$36:$AL$135,F276)+SUMIFS($AI$36:$AI$135,$AM$36:$AM$135,F276) + AB15</f>
        <v>#VALUE!</v>
      </c>
      <c r="I276" t="s">
        <v>484</v>
      </c>
    </row>
    <row r="277" spans="2:9" x14ac:dyDescent="0.25">
      <c r="B277"/>
      <c r="C277"/>
      <c r="D277"/>
      <c r="E277" t="str">
        <f>'Hidden Lists and Summaries'!$B$5</f>
        <v>Embodied (Upstream)</v>
      </c>
      <c r="F277" t="s">
        <v>214</v>
      </c>
      <c r="G277" t="e">
        <f t="shared" si="9"/>
        <v>#DIV/0!</v>
      </c>
      <c r="H277">
        <f>SUMIFS($AH$36:$AH$135,$AL$36:$AL$135,F277)+SUMIFS($AI$36:$AI$135,$AM$36:$AM$135,F277)</f>
        <v>0</v>
      </c>
      <c r="I277" t="s">
        <v>484</v>
      </c>
    </row>
    <row r="278" spans="2:9" x14ac:dyDescent="0.25">
      <c r="B278"/>
      <c r="C278"/>
      <c r="D278"/>
      <c r="E278" t="str">
        <f>'Hidden Lists and Summaries'!$B$5</f>
        <v>Embodied (Upstream)</v>
      </c>
      <c r="F278" t="s">
        <v>243</v>
      </c>
      <c r="G278" t="e">
        <f t="shared" si="9"/>
        <v>#DIV/0!</v>
      </c>
      <c r="H278">
        <f>SUMIFS($AH$36:$AH$135,$AL$36:$AL$135,F278)+SUMIFS($AI$36:$AI$135,$AM$36:$AM$135,F278)</f>
        <v>0</v>
      </c>
      <c r="I278" t="s">
        <v>484</v>
      </c>
    </row>
    <row r="279" spans="2:9" x14ac:dyDescent="0.25">
      <c r="B279"/>
      <c r="C279"/>
      <c r="D279"/>
      <c r="E279" t="str">
        <f>'Hidden Lists and Summaries'!$B$5</f>
        <v>Embodied (Upstream)</v>
      </c>
      <c r="F279" t="s">
        <v>286</v>
      </c>
      <c r="G279" t="e">
        <f t="shared" si="9"/>
        <v>#DIV/0!</v>
      </c>
      <c r="H279">
        <f>SUMIFS($AH$36:$AH$135,$AL$36:$AL$135,F279)+SUMIFS($AI$36:$AI$135,$AM$36:$AM$135,F279)</f>
        <v>0</v>
      </c>
      <c r="I279" t="s">
        <v>484</v>
      </c>
    </row>
    <row r="280" spans="2:9" x14ac:dyDescent="0.25">
      <c r="B280"/>
      <c r="C280"/>
      <c r="D280"/>
      <c r="E280" t="str">
        <f>'Hidden Lists and Summaries'!$B$5</f>
        <v>Embodied (Upstream)</v>
      </c>
      <c r="F280" t="s">
        <v>486</v>
      </c>
      <c r="G280" t="e">
        <f t="shared" si="9"/>
        <v>#DIV/0!</v>
      </c>
      <c r="H280">
        <f>SUMIFS($AH$36:$AH$135,$AL$36:$AL$135,F280)+SUMIFS($AI$36:$AI$135,$AM$36:$AM$135,F280)</f>
        <v>0</v>
      </c>
      <c r="I280"/>
    </row>
    <row r="281" spans="2:9" x14ac:dyDescent="0.25">
      <c r="B281"/>
      <c r="C281"/>
      <c r="D281"/>
      <c r="E281" t="str">
        <f>'Hidden Lists and Summaries'!B6</f>
        <v>Steam Supply</v>
      </c>
      <c r="F281"/>
      <c r="G281" t="e">
        <f t="shared" si="9"/>
        <v>#DIV/0!</v>
      </c>
      <c r="H281">
        <f>SUMIFS($AH$36:$AH$135,$AJ$36:$AJ$135,E281)+SUMIFS($AI$36:$AI$135,$AK$36:$AK$135,E281)</f>
        <v>0</v>
      </c>
      <c r="I281" t="s">
        <v>487</v>
      </c>
    </row>
    <row r="282" spans="2:9" x14ac:dyDescent="0.25">
      <c r="B282"/>
      <c r="C282"/>
      <c r="D282"/>
      <c r="E282" t="str">
        <f>'Hidden Lists and Summaries'!B7</f>
        <v>Electricity Supply</v>
      </c>
      <c r="F282"/>
      <c r="G282" t="e">
        <f t="shared" si="9"/>
        <v>#DIV/0!</v>
      </c>
      <c r="H282">
        <f>SUMIFS($AH$36:$AH$135,$AJ$36:$AJ$135,E282)+SUMIFS($AI$36:$AI$135,$AK$36:$AK$135,E282)</f>
        <v>0</v>
      </c>
      <c r="I282" t="s">
        <v>487</v>
      </c>
    </row>
    <row r="283" spans="2:9" x14ac:dyDescent="0.25">
      <c r="B283"/>
      <c r="C283"/>
      <c r="D283"/>
      <c r="E283" t="str">
        <f>'Hidden Lists and Summaries'!B8</f>
        <v>Fuel Combustion</v>
      </c>
      <c r="F283"/>
      <c r="G283" t="e">
        <f t="shared" si="9"/>
        <v>#DIV/0!</v>
      </c>
      <c r="H283">
        <f>SUMIFS($AH$36:$AH$135,$AJ$36:$AJ$135,E283)+SUMIFS($AI$36:$AI$135,$AK$36:$AK$135,E283)</f>
        <v>0</v>
      </c>
      <c r="I283" t="s">
        <v>487</v>
      </c>
    </row>
    <row r="284" spans="2:9" x14ac:dyDescent="0.25">
      <c r="B284"/>
      <c r="C284"/>
      <c r="D284"/>
      <c r="E284" t="str">
        <f>'Hidden Lists and Summaries'!B9</f>
        <v>Industrial Process</v>
      </c>
      <c r="F284"/>
      <c r="G284" t="e">
        <f t="shared" si="9"/>
        <v>#DIV/0!</v>
      </c>
      <c r="H284">
        <f>SUMIFS($AH$36:$AH$135,$AJ$36:$AJ$135,E284)+SUMIFS($AI$36:$AI$135,$AK$36:$AK$135,E284)</f>
        <v>0</v>
      </c>
      <c r="I284" t="s">
        <v>487</v>
      </c>
    </row>
    <row r="285" spans="2:9" x14ac:dyDescent="0.25">
      <c r="B285"/>
      <c r="C285"/>
      <c r="D285"/>
      <c r="E285" t="str">
        <f>'Hidden Lists and Summaries'!B10</f>
        <v>Accrued</v>
      </c>
      <c r="F285"/>
      <c r="G285" t="e">
        <f t="shared" si="9"/>
        <v>#DIV/0!</v>
      </c>
      <c r="H285">
        <f>SUMIFS($AH$36:$AH$135,$AJ$36:$AJ$135,E285)+SUMIFS($AI$36:$AI$135,$AK$36:$AK$135,E285)</f>
        <v>0</v>
      </c>
      <c r="I285" t="s">
        <v>487</v>
      </c>
    </row>
    <row r="286" spans="2:9" x14ac:dyDescent="0.25">
      <c r="B286"/>
      <c r="C286"/>
      <c r="D286"/>
      <c r="E286" t="s">
        <v>488</v>
      </c>
      <c r="F286"/>
      <c r="G286" t="e">
        <f t="shared" ref="G286:G292" si="10">H286/lohcDehyd_quantityProduced_tonnes</f>
        <v>#DIV/0!</v>
      </c>
      <c r="H286" s="227">
        <f>SUM(O121:O123)</f>
        <v>0</v>
      </c>
      <c r="I286" t="s">
        <v>487</v>
      </c>
    </row>
    <row r="287" spans="2:9" x14ac:dyDescent="0.25">
      <c r="B287"/>
      <c r="C287"/>
      <c r="D287"/>
      <c r="E287" t="s">
        <v>384</v>
      </c>
      <c r="F287"/>
      <c r="G287" t="e">
        <f t="shared" si="10"/>
        <v>#DIV/0!</v>
      </c>
      <c r="H287" s="227">
        <f>O175</f>
        <v>0</v>
      </c>
    </row>
    <row r="288" spans="2:9" x14ac:dyDescent="0.25">
      <c r="B288"/>
      <c r="C288"/>
      <c r="D288"/>
      <c r="E288" t="s">
        <v>374</v>
      </c>
      <c r="G288" t="e">
        <f t="shared" si="10"/>
        <v>#DIV/0!</v>
      </c>
      <c r="H288" s="227">
        <f>O142</f>
        <v>0</v>
      </c>
      <c r="I288" t="s">
        <v>489</v>
      </c>
    </row>
    <row r="289" spans="2:9" x14ac:dyDescent="0.25">
      <c r="B289"/>
      <c r="C289"/>
      <c r="D289"/>
      <c r="E289" t="s">
        <v>375</v>
      </c>
      <c r="G289" t="e">
        <f t="shared" si="10"/>
        <v>#DIV/0!</v>
      </c>
      <c r="H289" s="227">
        <f>O151</f>
        <v>0</v>
      </c>
      <c r="I289" t="s">
        <v>489</v>
      </c>
    </row>
    <row r="290" spans="2:9" x14ac:dyDescent="0.25">
      <c r="B290"/>
      <c r="C290"/>
      <c r="D290"/>
      <c r="E290" t="s">
        <v>940</v>
      </c>
      <c r="G290" t="e">
        <f t="shared" si="10"/>
        <v>#DIV/0!</v>
      </c>
      <c r="H290" s="227">
        <f>O159</f>
        <v>0</v>
      </c>
      <c r="I290" t="s">
        <v>489</v>
      </c>
    </row>
    <row r="291" spans="2:9" x14ac:dyDescent="0.25">
      <c r="B291"/>
      <c r="C291"/>
      <c r="D291"/>
      <c r="E291" t="s">
        <v>382</v>
      </c>
      <c r="G291" t="e">
        <f t="shared" si="10"/>
        <v>#DIV/0!</v>
      </c>
      <c r="H291" s="227">
        <f>Y124</f>
        <v>0</v>
      </c>
      <c r="I291" t="s">
        <v>489</v>
      </c>
    </row>
    <row r="292" spans="2:9" x14ac:dyDescent="0.25">
      <c r="B292"/>
      <c r="C292"/>
      <c r="D292"/>
      <c r="E292" t="s">
        <v>490</v>
      </c>
      <c r="G292" t="e">
        <f t="shared" si="10"/>
        <v>#DIV/0!</v>
      </c>
      <c r="H292" s="227">
        <f>Y120</f>
        <v>0</v>
      </c>
      <c r="I292" t="s">
        <v>489</v>
      </c>
    </row>
    <row r="293" spans="2:9" x14ac:dyDescent="0.25">
      <c r="B293"/>
      <c r="C293"/>
      <c r="D293"/>
      <c r="E293" s="227" t="s">
        <v>491</v>
      </c>
      <c r="F293" s="227"/>
      <c r="G293" s="227" t="e">
        <f>H293/lohcDehyd_quantityProduced_tonnes</f>
        <v>#DIV/0!</v>
      </c>
      <c r="H293" s="227">
        <f>downstream_transport_emissions</f>
        <v>0</v>
      </c>
      <c r="I293" t="s">
        <v>492</v>
      </c>
    </row>
    <row r="294" spans="2:9" x14ac:dyDescent="0.25">
      <c r="B294"/>
      <c r="C294"/>
      <c r="D294"/>
      <c r="E294" s="227" t="s">
        <v>493</v>
      </c>
      <c r="F294" s="227"/>
      <c r="G294" s="227" t="e">
        <f>H294/lohcDehyd_quantityProduced_tonnes</f>
        <v>#DIV/0!</v>
      </c>
      <c r="H294" s="227">
        <f>downstream_storage_emissions</f>
        <v>0</v>
      </c>
      <c r="I294" t="s">
        <v>492</v>
      </c>
    </row>
    <row r="295" spans="2:9" x14ac:dyDescent="0.25">
      <c r="B295"/>
      <c r="C295"/>
      <c r="D295"/>
      <c r="E295" s="227" t="s">
        <v>383</v>
      </c>
      <c r="F295" s="227"/>
      <c r="G295" s="227" t="e">
        <f>H295/lohcDehyd_quantityProduced_tonnes</f>
        <v>#DIV/0!</v>
      </c>
      <c r="H295" s="227">
        <f>O168</f>
        <v>0</v>
      </c>
      <c r="I295" t="s">
        <v>489</v>
      </c>
    </row>
    <row r="296" spans="2:9" x14ac:dyDescent="0.25">
      <c r="B296"/>
      <c r="C296"/>
      <c r="D296"/>
      <c r="E296" t="s">
        <v>494</v>
      </c>
      <c r="F296"/>
      <c r="G296" s="1566" t="e">
        <f>H296/lohcDehyd_quantityProduced_tonnes</f>
        <v>#DIV/0!</v>
      </c>
      <c r="H296" s="227">
        <f>('Transport - Downstream'!$H$121+'Transport - Downstream'!$H$122)</f>
        <v>0</v>
      </c>
      <c r="I296" s="1118" t="s">
        <v>495</v>
      </c>
    </row>
    <row r="297" spans="2:9" x14ac:dyDescent="0.25">
      <c r="B297"/>
      <c r="C297"/>
      <c r="D297"/>
      <c r="E297" t="s">
        <v>496</v>
      </c>
      <c r="F297"/>
      <c r="G297" s="1566" t="e">
        <f>H297/lohcDehyd_quantityProduced_tonnes</f>
        <v>#DIV/0!</v>
      </c>
      <c r="H297" s="227">
        <f>'Transport - Downstream'!$H$123</f>
        <v>0</v>
      </c>
      <c r="I297" s="1118" t="s">
        <v>495</v>
      </c>
    </row>
    <row r="298" spans="2:9" x14ac:dyDescent="0.25">
      <c r="B298"/>
      <c r="C298"/>
      <c r="D298"/>
      <c r="E298"/>
      <c r="F298"/>
      <c r="G298"/>
      <c r="H298"/>
    </row>
    <row r="299" spans="2:9" x14ac:dyDescent="0.25">
      <c r="B299"/>
      <c r="C299"/>
      <c r="D299"/>
      <c r="E299"/>
      <c r="F299"/>
      <c r="G299"/>
      <c r="H299"/>
    </row>
    <row r="300" spans="2:9" x14ac:dyDescent="0.25">
      <c r="B300"/>
      <c r="C300"/>
      <c r="D300"/>
      <c r="E300"/>
      <c r="F300"/>
      <c r="G300"/>
      <c r="H300"/>
    </row>
    <row r="301" spans="2:9" x14ac:dyDescent="0.25">
      <c r="B301"/>
      <c r="C301"/>
      <c r="D301"/>
      <c r="E301"/>
      <c r="F301"/>
      <c r="G301"/>
      <c r="H301"/>
    </row>
    <row r="302" spans="2:9" x14ac:dyDescent="0.25">
      <c r="B302"/>
      <c r="C302"/>
      <c r="D302"/>
      <c r="E302"/>
      <c r="F302"/>
      <c r="G302"/>
      <c r="H302"/>
    </row>
    <row r="303" spans="2:9" x14ac:dyDescent="0.25">
      <c r="B303"/>
      <c r="C303"/>
      <c r="D303"/>
      <c r="E303"/>
      <c r="F303"/>
      <c r="G303"/>
      <c r="H303"/>
    </row>
    <row r="304" spans="2:9" x14ac:dyDescent="0.25">
      <c r="B304"/>
      <c r="C304"/>
      <c r="D304"/>
      <c r="E304"/>
      <c r="F304"/>
      <c r="G304"/>
      <c r="H304"/>
    </row>
    <row r="305" spans="2:8" x14ac:dyDescent="0.25">
      <c r="B305"/>
      <c r="C305"/>
      <c r="D305"/>
      <c r="E305"/>
      <c r="F305"/>
      <c r="G305"/>
      <c r="H305"/>
    </row>
    <row r="306" spans="2:8" x14ac:dyDescent="0.25">
      <c r="B306"/>
      <c r="C306"/>
      <c r="D306"/>
      <c r="E306"/>
      <c r="F306"/>
      <c r="G306"/>
      <c r="H306"/>
    </row>
    <row r="307" spans="2:8" x14ac:dyDescent="0.25">
      <c r="B307"/>
      <c r="C307"/>
      <c r="D307"/>
      <c r="E307"/>
      <c r="F307"/>
      <c r="G307"/>
      <c r="H307"/>
    </row>
    <row r="308" spans="2:8" x14ac:dyDescent="0.25">
      <c r="B308"/>
      <c r="C308"/>
      <c r="D308"/>
      <c r="E308"/>
      <c r="F308"/>
      <c r="G308"/>
      <c r="H308"/>
    </row>
    <row r="309" spans="2:8" x14ac:dyDescent="0.25">
      <c r="B309"/>
      <c r="C309"/>
      <c r="D309"/>
      <c r="E309"/>
      <c r="F309"/>
      <c r="G309"/>
      <c r="H309"/>
    </row>
    <row r="310" spans="2:8" x14ac:dyDescent="0.25">
      <c r="B310"/>
      <c r="C310"/>
      <c r="D310"/>
      <c r="E310"/>
      <c r="F310"/>
      <c r="G310"/>
      <c r="H310"/>
    </row>
    <row r="311" spans="2:8" x14ac:dyDescent="0.25">
      <c r="B311"/>
      <c r="C311"/>
      <c r="D311"/>
      <c r="E311"/>
      <c r="F311"/>
      <c r="G311"/>
      <c r="H311"/>
    </row>
    <row r="312" spans="2:8" x14ac:dyDescent="0.25">
      <c r="B312"/>
      <c r="C312"/>
      <c r="D312"/>
      <c r="E312"/>
      <c r="F312"/>
      <c r="G312"/>
      <c r="H312"/>
    </row>
    <row r="313" spans="2:8" x14ac:dyDescent="0.25">
      <c r="B313"/>
      <c r="C313"/>
      <c r="D313"/>
      <c r="E313"/>
      <c r="F313"/>
      <c r="G313"/>
      <c r="H313"/>
    </row>
    <row r="314" spans="2:8" x14ac:dyDescent="0.25">
      <c r="B314"/>
      <c r="C314"/>
      <c r="D314"/>
      <c r="E314"/>
      <c r="F314"/>
      <c r="G314"/>
      <c r="H314"/>
    </row>
    <row r="315" spans="2:8" x14ac:dyDescent="0.25">
      <c r="B315"/>
      <c r="C315"/>
      <c r="D315"/>
      <c r="E315"/>
      <c r="F315"/>
      <c r="G315"/>
      <c r="H315"/>
    </row>
    <row r="316" spans="2:8" x14ac:dyDescent="0.25">
      <c r="B316"/>
      <c r="C316"/>
      <c r="D316"/>
      <c r="E316"/>
      <c r="F316"/>
      <c r="G316"/>
      <c r="H316"/>
    </row>
    <row r="317" spans="2:8" x14ac:dyDescent="0.25">
      <c r="B317"/>
      <c r="C317"/>
      <c r="D317"/>
      <c r="E317"/>
      <c r="F317"/>
      <c r="G317"/>
      <c r="H317"/>
    </row>
    <row r="318" spans="2:8" x14ac:dyDescent="0.25">
      <c r="B318"/>
      <c r="C318"/>
      <c r="D318"/>
      <c r="E318"/>
      <c r="F318"/>
      <c r="G318"/>
      <c r="H318"/>
    </row>
    <row r="319" spans="2:8" x14ac:dyDescent="0.25">
      <c r="B319"/>
      <c r="C319"/>
      <c r="D319"/>
      <c r="E319"/>
      <c r="F319"/>
      <c r="G319"/>
      <c r="H319"/>
    </row>
    <row r="320" spans="2:8" x14ac:dyDescent="0.25">
      <c r="B320"/>
      <c r="C320"/>
      <c r="D320"/>
      <c r="E320"/>
      <c r="F320"/>
      <c r="G320"/>
      <c r="H320"/>
    </row>
    <row r="321" spans="5:8" x14ac:dyDescent="0.25">
      <c r="E321"/>
      <c r="F321"/>
      <c r="G321"/>
      <c r="H321"/>
    </row>
    <row r="322" spans="5:8" x14ac:dyDescent="0.25">
      <c r="E322"/>
      <c r="F322"/>
      <c r="G322"/>
      <c r="H322"/>
    </row>
    <row r="323" spans="5:8" x14ac:dyDescent="0.25">
      <c r="E323"/>
      <c r="F323"/>
      <c r="G323"/>
      <c r="H323"/>
    </row>
    <row r="324" spans="5:8" x14ac:dyDescent="0.25">
      <c r="E324"/>
      <c r="F324"/>
      <c r="G324"/>
      <c r="H324"/>
    </row>
    <row r="325" spans="5:8" x14ac:dyDescent="0.25">
      <c r="E325"/>
      <c r="F325"/>
      <c r="G325"/>
      <c r="H325"/>
    </row>
    <row r="326" spans="5:8" x14ac:dyDescent="0.25">
      <c r="E326"/>
      <c r="F326"/>
      <c r="G326"/>
      <c r="H326"/>
    </row>
    <row r="327" spans="5:8" x14ac:dyDescent="0.25">
      <c r="E327"/>
      <c r="F327"/>
      <c r="G327"/>
      <c r="H327"/>
    </row>
    <row r="328" spans="5:8" x14ac:dyDescent="0.25">
      <c r="E328"/>
      <c r="F328"/>
      <c r="G328"/>
      <c r="H328"/>
    </row>
    <row r="329" spans="5:8" x14ac:dyDescent="0.25">
      <c r="E329"/>
      <c r="F329"/>
      <c r="G329"/>
      <c r="H329"/>
    </row>
    <row r="330" spans="5:8" x14ac:dyDescent="0.25">
      <c r="E330"/>
      <c r="F330"/>
      <c r="G330"/>
      <c r="H330"/>
    </row>
    <row r="331" spans="5:8" x14ac:dyDescent="0.25">
      <c r="E331"/>
      <c r="F331"/>
      <c r="G331"/>
      <c r="H331"/>
    </row>
    <row r="332" spans="5:8" x14ac:dyDescent="0.25">
      <c r="E332"/>
      <c r="F332"/>
      <c r="G332"/>
      <c r="H332"/>
    </row>
    <row r="333" spans="5:8" x14ac:dyDescent="0.25">
      <c r="E333"/>
      <c r="F333"/>
      <c r="G333"/>
      <c r="H333"/>
    </row>
    <row r="334" spans="5:8" x14ac:dyDescent="0.25">
      <c r="E334"/>
      <c r="F334"/>
      <c r="G334"/>
      <c r="H334"/>
    </row>
    <row r="335" spans="5:8" x14ac:dyDescent="0.25">
      <c r="E335"/>
      <c r="F335"/>
      <c r="G335"/>
      <c r="H335"/>
    </row>
    <row r="336" spans="5:8" x14ac:dyDescent="0.25">
      <c r="E336"/>
      <c r="F336"/>
      <c r="G336"/>
      <c r="H336"/>
    </row>
    <row r="337" spans="5:8" x14ac:dyDescent="0.25">
      <c r="E337"/>
      <c r="F337"/>
      <c r="G337"/>
      <c r="H337"/>
    </row>
    <row r="338" spans="5:8" x14ac:dyDescent="0.25">
      <c r="E338"/>
      <c r="F338"/>
      <c r="G338"/>
      <c r="H338"/>
    </row>
    <row r="339" spans="5:8" x14ac:dyDescent="0.25">
      <c r="E339"/>
      <c r="F339"/>
      <c r="G339"/>
      <c r="H339"/>
    </row>
  </sheetData>
  <sheetProtection selectLockedCells="1" selectUnlockedCells="1"/>
  <mergeCells count="32">
    <mergeCell ref="C3:R3"/>
    <mergeCell ref="AL34:AL35"/>
    <mergeCell ref="AM34:AM35"/>
    <mergeCell ref="AH32:AM33"/>
    <mergeCell ref="K92:K93"/>
    <mergeCell ref="I30:I31"/>
    <mergeCell ref="AH34:AH35"/>
    <mergeCell ref="AI34:AI35"/>
    <mergeCell ref="AJ34:AJ35"/>
    <mergeCell ref="AK34:AK35"/>
    <mergeCell ref="K84:K85"/>
    <mergeCell ref="H39:H40"/>
    <mergeCell ref="H65:H66"/>
    <mergeCell ref="H74:H75"/>
    <mergeCell ref="H91:J91"/>
    <mergeCell ref="I92:I93"/>
    <mergeCell ref="J92:J93"/>
    <mergeCell ref="H83:J83"/>
    <mergeCell ref="I84:I85"/>
    <mergeCell ref="J84:J85"/>
    <mergeCell ref="AA212:AB212"/>
    <mergeCell ref="AA213:AB213"/>
    <mergeCell ref="Y237:Z237"/>
    <mergeCell ref="Y250:Z250"/>
    <mergeCell ref="Y251:Z251"/>
    <mergeCell ref="AA221:AB221"/>
    <mergeCell ref="AA222:AB222"/>
    <mergeCell ref="AA223:AB223"/>
    <mergeCell ref="Y224:Z224"/>
    <mergeCell ref="Y225:Z225"/>
    <mergeCell ref="Y236:Z236"/>
    <mergeCell ref="Y220:Z220"/>
  </mergeCells>
  <conditionalFormatting sqref="C13">
    <cfRule type="expression" dxfId="63" priority="19">
      <formula>#REF!="No"</formula>
    </cfRule>
  </conditionalFormatting>
  <conditionalFormatting sqref="C14:E14">
    <cfRule type="expression" dxfId="62" priority="1">
      <formula>$E$13="Yes"</formula>
    </cfRule>
  </conditionalFormatting>
  <conditionalFormatting sqref="C15:F16">
    <cfRule type="expression" dxfId="61" priority="3">
      <formula>$E$13="Yes"</formula>
    </cfRule>
  </conditionalFormatting>
  <conditionalFormatting sqref="E13">
    <cfRule type="expression" dxfId="60" priority="2">
      <formula>$E$13="Yes"</formula>
    </cfRule>
  </conditionalFormatting>
  <conditionalFormatting sqref="H88 H90">
    <cfRule type="expression" dxfId="59" priority="5">
      <formula>AND(NOT(ISNUMBER(AB88)),$F88&lt;&gt;"")</formula>
    </cfRule>
  </conditionalFormatting>
  <conditionalFormatting sqref="H95:H99">
    <cfRule type="expression" dxfId="58" priority="22">
      <formula>AND(NOT(ISNUMBER(AB95)),$F95&lt;&gt;"")</formula>
    </cfRule>
  </conditionalFormatting>
  <conditionalFormatting sqref="I39:I40">
    <cfRule type="expression" dxfId="57" priority="36">
      <formula>($H$42&lt;&gt;"")</formula>
    </cfRule>
  </conditionalFormatting>
  <conditionalFormatting sqref="I42">
    <cfRule type="expression" dxfId="56" priority="35">
      <formula>($H$42&lt;&gt;"")</formula>
    </cfRule>
  </conditionalFormatting>
  <conditionalFormatting sqref="K88 K90">
    <cfRule type="expression" dxfId="45" priority="4">
      <formula>AND(NOT(ISNUMBER($AA88)),$F88&lt;&gt;"")</formula>
    </cfRule>
  </conditionalFormatting>
  <conditionalFormatting sqref="K95:K99">
    <cfRule type="expression" dxfId="44" priority="21">
      <formula>AND(NOT(ISNUMBER($AA95)),$F95&lt;&gt;"")</formula>
    </cfRule>
  </conditionalFormatting>
  <dataValidations count="23">
    <dataValidation type="decimal" operator="greaterThan" allowBlank="1" showInputMessage="1" showErrorMessage="1" sqref="E15:E16" xr:uid="{A493CCFE-8575-4B9F-885D-A29ABE2B1061}">
      <formula1>0</formula1>
    </dataValidation>
    <dataValidation allowBlank="1" showInputMessage="1" showErrorMessage="1" prompt="Enter percentage (%) purity at gate" sqref="E25" xr:uid="{C118E392-4693-45DC-B993-F46352287A74}"/>
    <dataValidation type="decimal" operator="greaterThanOrEqual" allowBlank="1" showInputMessage="1" showErrorMessage="1" sqref="F42 G95:G99 G131:G134 J33:J35 E141 E119:E124 G106:G112 F77:F80 E149:E150 H77:H80 G33:G35 E157:E158 F174:F175 G88:G90 F68:F70" xr:uid="{F7576C23-4784-4EDB-BD20-415D8DE8792C}">
      <formula1>0</formula1>
    </dataValidation>
    <dataValidation type="decimal" operator="greaterThan" allowBlank="1" showInputMessage="1" showErrorMessage="1" prompt="If no bespoke factor entered, a default will be selected." sqref="I95:J99 I88:J90" xr:uid="{143534F9-737C-4262-BEC2-CA482BCA79D9}">
      <formula1>0</formula1>
    </dataValidation>
    <dataValidation type="decimal" operator="greaterThanOrEqual" allowBlank="1" showInputMessage="1" showErrorMessage="1" prompt="Leave blank to use default value." sqref="H68:H70" xr:uid="{570ECD2B-64C1-48CD-BE70-53C1A7BF55EA}">
      <formula1>0</formula1>
    </dataValidation>
    <dataValidation allowBlank="1" showInputMessage="1" showErrorMessage="1" prompt="i.e. river water, groundwater, etc." sqref="E42" xr:uid="{FF283F6E-3177-491E-ACF7-4E43F3BB51BA}"/>
    <dataValidation allowBlank="1" showInputMessage="1" showErrorMessage="1" prompt="Inputs may include chemicals, materials, etc." sqref="E77" xr:uid="{8182E7CB-6CDC-4C36-9D63-98B9D538946E}"/>
    <dataValidation type="decimal" operator="greaterThanOrEqual" allowBlank="1" showInputMessage="1" showErrorMessage="1" prompt="If no bespoke factor is entered a default will be selected._x000a__x000a_Note no defaults exist for some fuels. Cell will appear red if no default exists_x000a_" sqref="K95:K99 K88:K90" xr:uid="{3B97CD64-0213-48B1-BBB9-4257E8AC6EE2}">
      <formula1>0</formula1>
    </dataValidation>
    <dataValidation type="decimal" showInputMessage="1" showErrorMessage="1" error="Quantity sold must be equal to or less than quantity produced." sqref="F157:F158" xr:uid="{84940AA6-3BF3-4EA6-ACDC-ED130062E505}">
      <formula1>0</formula1>
      <formula2>E157</formula2>
    </dataValidation>
    <dataValidation type="decimal" operator="greaterThanOrEqual" showInputMessage="1" showErrorMessage="1" sqref="E148" xr:uid="{F3D3B2BB-9C5F-4CDF-B17E-E20DFF5F0E98}">
      <formula1>0</formula1>
    </dataValidation>
    <dataValidation type="decimal" operator="greaterThanOrEqual" allowBlank="1" showInputMessage="1" showErrorMessage="1" prompt="Leave blank to use default value" sqref="I33:I35" xr:uid="{77F27B23-F7C2-497F-9F9F-FD87BA10BB04}">
      <formula1>0</formula1>
    </dataValidation>
    <dataValidation allowBlank="1" showInputMessage="1" showErrorMessage="1" prompt="Leave blank to use default value" sqref="H42" xr:uid="{19B82E90-91CD-495A-ACD5-049A4CA3288A}"/>
    <dataValidation type="decimal" operator="greaterThanOrEqual" allowBlank="1" showInputMessage="1" showErrorMessage="1" prompt="Value must be entered to use default emission factor" sqref="I42" xr:uid="{400A172B-D71A-4C5A-B506-D7C31F0B9EA8}">
      <formula1>0</formula1>
    </dataValidation>
    <dataValidation allowBlank="1" showDropDown="1" showInputMessage="1" showErrorMessage="1" sqref="C49:C50 C53 AD49:AD52 AE53" xr:uid="{2EA0DC15-505B-4C89-9853-AD1E06BD1429}"/>
    <dataValidation type="decimal" operator="greaterThanOrEqual" showInputMessage="1" showErrorMessage="1" error="Quantity sold must be greater than or equal to 0." sqref="F148:F150" xr:uid="{F383FFB0-BFA1-440A-AFAB-3D5B95DFF6FB}">
      <formula1>0</formula1>
    </dataValidation>
    <dataValidation type="decimal" operator="greaterThanOrEqual" allowBlank="1" showInputMessage="1" showErrorMessage="1" prompt="Input total electricity consumption allocated to this process from all electricity sources" sqref="E49" xr:uid="{BAEA2886-4554-44B7-90B6-58BE0A81A053}">
      <formula1>0</formula1>
    </dataValidation>
    <dataValidation allowBlank="1" showInputMessage="1" showErrorMessage="1" prompt="Enter contaminant information, i.e. type and concentration" sqref="E26" xr:uid="{E684C0A6-ACAD-4DF2-87DF-02A9088A9018}"/>
    <dataValidation allowBlank="1" showInputMessage="1" showErrorMessage="1" prompt="Input total quantity of steam produced via a Combined Heat and Power system consumed by this process. Value must be less than or equal to the total steam produced via CHP input into 'Electricity Usage' tab." sqref="E60" xr:uid="{080B164C-A9C1-4393-8412-A6C18C4DC61F}"/>
    <dataValidation type="decimal" operator="greaterThanOrEqual" allowBlank="1" showInputMessage="1" showErrorMessage="1" prompt="Input total quantity of renewable electricity allocated to this process. Value must be less than or equal to the total renewable electricity input into 'Electricity Usage' tab." sqref="E50" xr:uid="{F405E98C-D8B7-44B0-ACCB-3C064E5EB08E}">
      <formula1>0</formula1>
    </dataValidation>
    <dataValidation type="decimal" operator="greaterThanOrEqual" allowBlank="1" showInputMessage="1" showErrorMessage="1" prompt="Input total quantity of grid electricity allocated to this process. Value must be less than or equal to the total grid electricity input into 'Electricity Usage' tab." sqref="E52" xr:uid="{FF7C2D33-04FA-4EBB-B0EF-291C6183E867}">
      <formula1>0</formula1>
    </dataValidation>
    <dataValidation type="decimal" operator="greaterThanOrEqual" allowBlank="1" showInputMessage="1" showErrorMessage="1" prompt="Input total quantity of onsite electricity generated via fuel combustion allocated to this process. Value must be less than or equal to the total input into 'Electricity Usage' tab." sqref="E53" xr:uid="{F06F628D-8A12-46A3-B4ED-3F9BD606B092}">
      <formula1>0</formula1>
    </dataValidation>
    <dataValidation allowBlank="1" showInputMessage="1" showErrorMessage="1" prompt="Note: All Co-Product names must be unique." sqref="C165:C167" xr:uid="{C38A6B32-E92F-4CE2-BE49-BC7D15E35889}"/>
    <dataValidation type="list" allowBlank="1" showInputMessage="1" showErrorMessage="1" sqref="F49:F50 F52:F53" xr:uid="{3C71E0F4-F61D-4996-83FD-C082831E7EE6}">
      <formula1>Energy_Units_Options</formula1>
    </dataValidation>
  </dataValidations>
  <pageMargins left="0.7" right="0.7" top="0.75" bottom="0.75" header="0.3" footer="0.3"/>
  <pageSetup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7" id="{66C58D0F-3DA0-4E16-A94D-54A319E96970}">
            <xm:f>OR((OR(($F33='Key Values'!$B$26),($F33='Key Values'!$B$27))),(OR(($F34='Key Values'!$B$26),($F34='Key Values'!$B$27))),(OR(($F35='Key Values'!$B$26),($F35='Key Values'!$B$27))))</xm:f>
            <x14:dxf>
              <font>
                <color auto="1"/>
              </font>
              <fill>
                <patternFill patternType="solid">
                  <bgColor rgb="FF00A7D3"/>
                </patternFill>
              </fill>
            </x14:dxf>
          </x14:cfRule>
          <xm:sqref>J31</xm:sqref>
        </x14:conditionalFormatting>
        <x14:conditionalFormatting xmlns:xm="http://schemas.microsoft.com/office/excel/2006/main">
          <x14:cfRule type="expression" priority="31" id="{C5671CDA-65A8-4169-AB09-4856737F7CD5}">
            <xm:f>OR(($F33='Key Values'!$B$26),($F33='Key Values'!$B$27))</xm:f>
            <x14:dxf>
              <border>
                <top style="thin">
                  <color auto="1"/>
                </top>
                <bottom/>
                <vertical/>
                <horizontal/>
              </border>
            </x14:dxf>
          </x14:cfRule>
          <xm:sqref>J33</xm:sqref>
        </x14:conditionalFormatting>
        <x14:conditionalFormatting xmlns:xm="http://schemas.microsoft.com/office/excel/2006/main">
          <x14:cfRule type="expression" priority="34" id="{B719B85A-A944-4007-8288-56855A6CE79C}">
            <xm:f>OR(($F33='Key Values'!$B$26),($F33='Key Values'!$B$27))</xm:f>
            <x14:dxf>
              <font>
                <color auto="1"/>
              </font>
              <fill>
                <patternFill>
                  <bgColor theme="5" tint="0.59996337778862885"/>
                </patternFill>
              </fill>
              <border>
                <left style="hair">
                  <color auto="1"/>
                </left>
                <right style="thin">
                  <color auto="1"/>
                </right>
                <top/>
                <bottom/>
              </border>
            </x14:dxf>
          </x14:cfRule>
          <xm:sqref>J33:J35</xm:sqref>
        </x14:conditionalFormatting>
        <x14:conditionalFormatting xmlns:xm="http://schemas.microsoft.com/office/excel/2006/main">
          <x14:cfRule type="expression" priority="25" id="{FE47641B-2A9F-4207-B90C-61C2FA7E2E1F}">
            <xm:f>AND(NOT(OR(($F35='Key Values'!$B$26),($F35='Key Values'!$B$27))),OR(($F34='Key Values'!$B$26),($F34='Key Values'!$B$27)))</xm:f>
            <x14:dxf>
              <border>
                <bottom style="thin">
                  <color auto="1"/>
                </bottom>
                <vertical/>
                <horizontal/>
              </border>
            </x14:dxf>
          </x14:cfRule>
          <x14:cfRule type="expression" priority="26" id="{5809F929-FFDB-4C03-A991-69D780807734}">
            <xm:f>AND(NOT(OR(($F33='Key Values'!$B$26),($F33='Key Values'!$B$27))),OR(($F34='Key Values'!$B$26),($F34='Key Values'!$B$27)))</xm:f>
            <x14:dxf>
              <border>
                <top style="thin">
                  <color auto="1"/>
                </top>
                <vertical/>
                <horizontal/>
              </border>
            </x14:dxf>
          </x14:cfRule>
          <x14:cfRule type="expression" priority="28" id="{9695B6E1-DC91-4DE7-BBFD-16E8DA759209}">
            <xm:f>AND(NOT(OR(($F34='Key Values'!$B$26),($F34='Key Values'!$B$27))),OR(($F33='Key Values'!$B$26),($F33='Key Values'!$B$27)))</xm:f>
            <x14:dxf>
              <border>
                <top style="thin">
                  <color auto="1"/>
                </top>
                <vertical/>
                <horizontal/>
              </border>
            </x14:dxf>
          </x14:cfRule>
          <x14:cfRule type="expression" priority="29" id="{BD4A5DBA-D1A1-4BC3-899C-809A9949AFB1}">
            <xm:f>AND(NOT(OR(($F34='Key Values'!$B$26),($F34='Key Values'!$B$27))),OR(($F35='Key Values'!$B$26),($F35='Key Values'!$B$27)))</xm:f>
            <x14:dxf>
              <border>
                <bottom style="thin">
                  <color auto="1"/>
                </bottom>
                <vertical/>
                <horizontal/>
              </border>
            </x14:dxf>
          </x14:cfRule>
          <x14:cfRule type="expression" priority="30" id="{4C7FB8DB-80F3-43A2-9228-C1F1B5F375AD}">
            <xm:f>AND(OR(($F33='Key Values'!$B$26),($F33='Key Values'!$B$27)),OR(($F34='Key Values'!$B$26),($F34='Key Values'!$B$27)))</xm:f>
            <x14:dxf>
              <border>
                <top style="hair">
                  <color auto="1"/>
                </top>
                <vertical/>
                <horizontal/>
              </border>
            </x14:dxf>
          </x14:cfRule>
          <x14:cfRule type="expression" priority="32" id="{7CD3F207-166B-4F3E-AC15-ADB720E1CA3B}">
            <xm:f>AND(OR(($F34='Key Values'!$B$26),($F34='Key Values'!$B$27)),OR(($F35='Key Values'!$B$26),($F35='Key Values'!$B$27)))</xm:f>
            <x14:dxf>
              <border>
                <bottom style="hair">
                  <color auto="1"/>
                </bottom>
                <vertical/>
                <horizontal/>
              </border>
            </x14:dxf>
          </x14:cfRule>
          <xm:sqref>J34</xm:sqref>
        </x14:conditionalFormatting>
        <x14:conditionalFormatting xmlns:xm="http://schemas.microsoft.com/office/excel/2006/main">
          <x14:cfRule type="expression" priority="33" id="{0150C6DA-FAD3-4F4E-920C-63DD710AB5BA}">
            <xm:f>OR(($F35='Key Values'!$B$26),($F35='Key Values'!$B$27))</xm:f>
            <x14:dxf>
              <border>
                <bottom style="thin">
                  <color auto="1"/>
                </bottom>
                <vertical/>
                <horizontal/>
              </border>
            </x14:dxf>
          </x14:cfRule>
          <xm:sqref>J35</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87A050B2-D254-464B-BD4E-D9FC4BD1879B}">
          <x14:formula1>
            <xm:f>'Key Values'!$B$20:$B$27</xm:f>
          </x14:formula1>
          <xm:sqref>F33:F35</xm:sqref>
        </x14:dataValidation>
        <x14:dataValidation type="list" allowBlank="1" showInputMessage="1" showErrorMessage="1" xr:uid="{2F015722-81DC-4A6D-8D23-3EC44CD26E08}">
          <x14:formula1>
            <xm:f>'Key Values'!$B$35:$B$37</xm:f>
          </x14:formula1>
          <xm:sqref>E95:E99 E88:E90</xm:sqref>
        </x14:dataValidation>
        <x14:dataValidation type="list" allowBlank="1" showInputMessage="1" showErrorMessage="1" xr:uid="{1811A627-08CE-4024-A5F6-A75F29AA2B62}">
          <x14:formula1>
            <xm:f>'Hidden Lists and Summaries'!$B$5:$B$9</xm:f>
          </x14:formula1>
          <xm:sqref>F131:F134</xm:sqref>
        </x14:dataValidation>
        <x14:dataValidation type="list" allowBlank="1" showInputMessage="1" showErrorMessage="1" xr:uid="{59715008-FA92-4F3C-AF6B-2CDFFEB2AC5F}">
          <x14:formula1>
            <xm:f>'Hidden Lists and Summaries'!$B$29:$B$34</xm:f>
          </x14:formula1>
          <xm:sqref>G77:G80 G165:G167</xm:sqref>
        </x14:dataValidation>
        <x14:dataValidation type="list" allowBlank="1" showInputMessage="1" showErrorMessage="1" xr:uid="{AC751DE8-3C8C-40C4-BE09-60656B1A65D4}">
          <x14:formula1>
            <xm:f>'Hidden Lists and Summaries'!$B$56:$B$57</xm:f>
          </x14:formula1>
          <xm:sqref>E14</xm:sqref>
        </x14:dataValidation>
        <x14:dataValidation type="list" allowBlank="1" showInputMessage="1" showErrorMessage="1" xr:uid="{1EC4EF29-A608-4E2D-980F-7DCDE5F3CC71}">
          <x14:formula1>
            <xm:f>'Key Values'!$B$313:$B$317</xm:f>
          </x14:formula1>
          <xm:sqref>G42 H33:H35</xm:sqref>
        </x14:dataValidation>
        <x14:dataValidation type="list" allowBlank="1" showInputMessage="1" showErrorMessage="1" xr:uid="{642C8FB7-7BA1-4230-9141-EACDBFCBFF23}">
          <x14:formula1>
            <xm:f>'Key Values'!$B$291:$B$292</xm:f>
          </x14:formula1>
          <xm:sqref>G148:G150 F15 H106:H112 F23 G68:G70 F12 G157:G158 F60</xm:sqref>
        </x14:dataValidation>
        <x14:dataValidation type="list" allowBlank="1" showDropDown="1" showInputMessage="1" showErrorMessage="1" xr:uid="{86A8E6F6-5A9E-4E33-B253-DA5F9A50E1BD}">
          <x14:formula1>
            <xm:f>'Key Values'!$B$303</xm:f>
          </x14:formula1>
          <xm:sqref>F141</xm:sqref>
        </x14:dataValidation>
        <x14:dataValidation type="list" allowBlank="1" showDropDown="1" showInputMessage="1" showErrorMessage="1" xr:uid="{A3338B75-C233-4E29-BE36-11C28C0AEC86}">
          <x14:formula1>
            <xm:f>'Key Values'!$B$291</xm:f>
          </x14:formula1>
          <xm:sqref>F119:F124 G174:G175</xm:sqref>
        </x14:dataValidation>
        <x14:dataValidation type="list" allowBlank="1" showInputMessage="1" showErrorMessage="1" xr:uid="{1A216A00-20A8-43FC-A1D8-317F997F498B}">
          <x14:formula1>
            <xm:f>'Hidden Lists and Summaries'!$B$151:$B$152</xm:f>
          </x14:formula1>
          <xm:sqref>E13</xm:sqref>
        </x14:dataValidation>
        <x14:dataValidation type="list" allowBlank="1" showInputMessage="1" showErrorMessage="1" xr:uid="{3572A57B-7C8B-458D-8E08-B8DB4955938F}">
          <x14:formula1>
            <xm:f>'Key Values'!$B$189:$B$192</xm:f>
          </x14:formula1>
          <xm:sqref>E106:E112</xm:sqref>
        </x14:dataValidation>
        <x14:dataValidation type="list" allowBlank="1" showInputMessage="1" showErrorMessage="1" xr:uid="{92E479E2-8951-466F-B6F4-E4CA37A0987F}">
          <x14:formula1>
            <xm:f>IF($E$112='Key Values'!$B$192,'Key Values'!$B$221,'Key Values'!$B$222:$B$234)</xm:f>
          </x14:formula1>
          <xm:sqref>F112</xm:sqref>
        </x14:dataValidation>
        <x14:dataValidation type="list" allowBlank="1" showInputMessage="1" showErrorMessage="1" xr:uid="{01F1770C-E81D-4E9E-B540-76ADA6372A5D}">
          <x14:formula1>
            <xm:f>IF($E$111='Key Values'!$B$192,'Key Values'!$B$221,'Key Values'!$B$222:$B$234)</xm:f>
          </x14:formula1>
          <xm:sqref>F111</xm:sqref>
        </x14:dataValidation>
        <x14:dataValidation type="list" allowBlank="1" showInputMessage="1" showErrorMessage="1" xr:uid="{2C2EE5D0-8F7A-4E4B-99EC-73760CB94D6C}">
          <x14:formula1>
            <xm:f>IF($E$110='Key Values'!$B$192,'Key Values'!$B$221,'Key Values'!$B$222:$B$234)</xm:f>
          </x14:formula1>
          <xm:sqref>F110</xm:sqref>
        </x14:dataValidation>
        <x14:dataValidation type="list" allowBlank="1" showInputMessage="1" showErrorMessage="1" xr:uid="{F7D258E6-D3EB-4A6E-ABAA-2D957F9B4515}">
          <x14:formula1>
            <xm:f>IF($E$108='Key Values'!$B$192,'Key Values'!$B$221,'Key Values'!$B$222:$B$234)</xm:f>
          </x14:formula1>
          <xm:sqref>F108</xm:sqref>
        </x14:dataValidation>
        <x14:dataValidation type="list" allowBlank="1" showInputMessage="1" showErrorMessage="1" xr:uid="{15B85E7D-6F12-48AA-828B-D278EACB98E0}">
          <x14:formula1>
            <xm:f>IF($E$107='Key Values'!$B$192,'Key Values'!$B$221,'Key Values'!$B$222:$B$234)</xm:f>
          </x14:formula1>
          <xm:sqref>F107</xm:sqref>
        </x14:dataValidation>
        <x14:dataValidation type="list" allowBlank="1" showInputMessage="1" showErrorMessage="1" xr:uid="{0A448D8A-FFF5-4EBC-9B2D-FA4539C16890}">
          <x14:formula1>
            <xm:f>IF($E$106='Key Values'!$B$192,'Key Values'!$B$221,'Key Values'!$B$222:$B$234)</xm:f>
          </x14:formula1>
          <xm:sqref>F106</xm:sqref>
        </x14:dataValidation>
        <x14:dataValidation type="list" allowBlank="1" showInputMessage="1" showErrorMessage="1" xr:uid="{7468991E-BAA6-47BA-AD02-A2927589991F}">
          <x14:formula1>
            <xm:f>IF($E$109='Key Values'!$B$192,'Key Values'!$B$221,'Key Values'!$B$222:$B$234)</xm:f>
          </x14:formula1>
          <xm:sqref>F109</xm:sqref>
        </x14:dataValidation>
        <x14:dataValidation type="list" allowBlank="1" showInputMessage="1" showErrorMessage="1" xr:uid="{96149143-B040-4BAE-9914-498576FB11F5}">
          <x14:formula1>
            <xm:f>'Key Values'!$B$209:$B$217</xm:f>
          </x14:formula1>
          <xm:sqref>I68:I70</xm:sqref>
        </x14:dataValidation>
        <x14:dataValidation type="list" operator="greaterThan" allowBlank="1" showInputMessage="1" showErrorMessage="1" xr:uid="{F5CE9815-F84B-42B3-8C2E-B96065BB5203}">
          <x14:formula1>
            <xm:f>'Key Values'!$B$197:$B$204</xm:f>
          </x14:formula1>
          <xm:sqref>J68:J70 H148:H150</xm:sqref>
        </x14:dataValidation>
        <x14:dataValidation type="list" allowBlank="1" showInputMessage="1" showErrorMessage="1" xr:uid="{46BD1F46-A26C-4D39-9117-E1D4DDE2575A}">
          <x14:formula1>
            <xm:f>IF(E88="Solid Fuel", 'Key Values'!$B$41:$B$58,IF(E88="Gaseous Fuel",'Key Values'!$B$72:$B$85,'Key Values'!$B$101:$B$120))</xm:f>
          </x14:formula1>
          <xm:sqref>F95:F99 F88:F90</xm:sqref>
        </x14:dataValidation>
        <x14:dataValidation type="list" allowBlank="1" showInputMessage="1" showErrorMessage="1" prompt="Cell will appear red if incompatible unit is selected" xr:uid="{303F615D-7193-4856-8D61-84E399226E21}">
          <x14:formula1>
            <xm:f>IF(OR(AND(E88="Liquid Fuel", _xlfn.IFNA(VLOOKUP(F88,'Key Values'!$B$101:$H$120,3,FALSE)="GJ/t", FALSE) ),E88="Solid Fuel"),'Key Values'!$B$291:$B$292, 'Key Values'!$B$296:$B$298)</xm:f>
          </x14:formula1>
          <xm:sqref>H95:H99 H88:H90</xm:sqref>
        </x14:dataValidation>
        <x14:dataValidation type="list" allowBlank="1" showInputMessage="1" showErrorMessage="1" xr:uid="{61960B76-8123-465F-9203-CEBE78B472CD}">
          <x14:formula1>
            <xm:f>'Key Values'!B$291:B$292</xm:f>
          </x14:formula1>
          <xm:sqref>H131:H134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0618-3CAB-4E5B-86C4-64065EF9595A}">
  <sheetPr>
    <tabColor theme="5" tint="0.39997558519241921"/>
  </sheetPr>
  <dimension ref="A1:AO128"/>
  <sheetViews>
    <sheetView showGridLines="0" zoomScale="55" zoomScaleNormal="55" workbookViewId="0">
      <selection activeCell="C47" sqref="C47"/>
    </sheetView>
  </sheetViews>
  <sheetFormatPr defaultColWidth="9.1796875" defaultRowHeight="12.75" customHeight="1" x14ac:dyDescent="0.25"/>
  <cols>
    <col min="1" max="1" width="6" customWidth="1"/>
    <col min="2" max="2" width="7.1796875" customWidth="1"/>
    <col min="3" max="3" width="70.54296875" bestFit="1" customWidth="1"/>
    <col min="4" max="4" width="6" customWidth="1"/>
    <col min="5" max="5" width="38.54296875" bestFit="1" customWidth="1"/>
    <col min="6" max="6" width="56.54296875" bestFit="1" customWidth="1"/>
    <col min="7" max="7" width="73.54296875" bestFit="1" customWidth="1"/>
    <col min="8" max="8" width="69.54296875" bestFit="1" customWidth="1"/>
    <col min="9" max="9" width="52.54296875" bestFit="1" customWidth="1"/>
    <col min="10" max="11" width="63.453125" bestFit="1" customWidth="1"/>
    <col min="12" max="12" width="8" customWidth="1"/>
    <col min="13" max="13" width="7" bestFit="1" customWidth="1"/>
    <col min="14" max="14" width="26" bestFit="1" customWidth="1"/>
    <col min="15" max="15" width="22.54296875" bestFit="1" customWidth="1"/>
    <col min="16" max="16" width="20.54296875" bestFit="1" customWidth="1"/>
    <col min="17" max="17" width="9.1796875" customWidth="1"/>
    <col min="18" max="18" width="7.1796875" customWidth="1"/>
    <col min="19" max="19" width="9.1796875" customWidth="1"/>
    <col min="20" max="20" width="27.54296875" bestFit="1" customWidth="1"/>
    <col min="21" max="21" width="29.1796875" bestFit="1" customWidth="1"/>
    <col min="22" max="22" width="36.54296875" bestFit="1" customWidth="1"/>
    <col min="23" max="23" width="39.81640625" bestFit="1" customWidth="1"/>
    <col min="24" max="24" width="38.453125" bestFit="1" customWidth="1"/>
    <col min="25" max="25" width="46.54296875" bestFit="1" customWidth="1"/>
    <col min="26" max="26" width="44.1796875" bestFit="1" customWidth="1"/>
    <col min="27" max="27" width="55" bestFit="1" customWidth="1"/>
    <col min="28" max="28" width="66.1796875" bestFit="1" customWidth="1"/>
    <col min="29" max="29" width="33.1796875" bestFit="1" customWidth="1"/>
    <col min="30" max="30" width="36.453125" bestFit="1" customWidth="1"/>
    <col min="31" max="31" width="24.81640625" bestFit="1" customWidth="1"/>
    <col min="32" max="32" width="29.1796875" bestFit="1" customWidth="1"/>
    <col min="35" max="35" width="6.453125" bestFit="1" customWidth="1"/>
    <col min="36" max="36" width="10.453125" bestFit="1" customWidth="1"/>
    <col min="37" max="37" width="21.1796875" bestFit="1" customWidth="1"/>
    <col min="38" max="38" width="25" bestFit="1" customWidth="1"/>
    <col min="39" max="40" width="7.54296875" bestFit="1" customWidth="1"/>
  </cols>
  <sheetData>
    <row r="1" spans="2:29" ht="12.5" x14ac:dyDescent="0.25"/>
    <row r="2" spans="2:29" ht="399" customHeight="1" x14ac:dyDescent="0.25"/>
    <row r="3" spans="2:29" ht="42.75" customHeight="1" x14ac:dyDescent="0.25">
      <c r="B3" s="1908" t="s">
        <v>175</v>
      </c>
      <c r="C3" s="1908"/>
      <c r="D3" s="1908"/>
      <c r="E3" s="1908"/>
      <c r="F3" s="1908"/>
      <c r="G3" s="1908"/>
      <c r="H3" s="1908"/>
      <c r="I3" s="1908"/>
      <c r="J3" s="1908"/>
      <c r="K3" s="1908"/>
      <c r="L3" s="1908"/>
      <c r="M3" s="1908"/>
      <c r="N3" s="1908"/>
      <c r="O3" s="1908"/>
      <c r="P3" s="1908"/>
      <c r="Q3" s="1908"/>
    </row>
    <row r="4" spans="2:29" ht="12.5" x14ac:dyDescent="0.25">
      <c r="B4" s="1081"/>
      <c r="C4" s="1082"/>
      <c r="D4" s="1082"/>
      <c r="E4" s="1082"/>
      <c r="F4" s="1082"/>
      <c r="G4" s="1082"/>
      <c r="H4" s="1082"/>
      <c r="I4" s="1082"/>
      <c r="J4" s="1082"/>
      <c r="K4" s="1082"/>
      <c r="L4" s="1082"/>
      <c r="M4" s="1082"/>
      <c r="N4" s="1082"/>
      <c r="O4" s="1082"/>
      <c r="P4" s="1082"/>
      <c r="Q4" s="1083"/>
    </row>
    <row r="5" spans="2:29" ht="15.75" customHeight="1" x14ac:dyDescent="0.25">
      <c r="B5" s="1084"/>
      <c r="C5" s="1109" t="s">
        <v>641</v>
      </c>
      <c r="D5" s="1086"/>
      <c r="E5" s="1086"/>
      <c r="F5" s="1086"/>
      <c r="G5" s="1086"/>
      <c r="H5" s="1086"/>
      <c r="I5" s="1086"/>
      <c r="J5" s="1086"/>
      <c r="K5" s="1086"/>
      <c r="L5" s="1086"/>
      <c r="M5" s="1086"/>
      <c r="N5" s="1086"/>
      <c r="O5" s="1086"/>
      <c r="P5" s="1086"/>
      <c r="Q5" s="1087"/>
      <c r="T5" s="1475" t="s">
        <v>72</v>
      </c>
      <c r="U5" s="1372"/>
      <c r="V5" s="1372"/>
      <c r="W5" s="1372"/>
      <c r="X5" s="1372"/>
      <c r="Y5" s="1372"/>
      <c r="Z5" s="1372"/>
      <c r="AA5" s="1372"/>
      <c r="AB5" s="1372"/>
      <c r="AC5" s="1373"/>
    </row>
    <row r="6" spans="2:29" ht="15.5" x14ac:dyDescent="0.25">
      <c r="B6" s="1089"/>
      <c r="C6" s="1090"/>
      <c r="D6" s="1090"/>
      <c r="E6" s="1091" t="s">
        <v>642</v>
      </c>
      <c r="F6" s="1091" t="s">
        <v>644</v>
      </c>
      <c r="G6" s="1091" t="s">
        <v>645</v>
      </c>
      <c r="H6" s="1091" t="s">
        <v>646</v>
      </c>
      <c r="I6" s="1253" t="s">
        <v>647</v>
      </c>
      <c r="J6" s="1253" t="s">
        <v>643</v>
      </c>
      <c r="K6" s="1253" t="s">
        <v>648</v>
      </c>
      <c r="L6" s="1090"/>
      <c r="M6" s="1090"/>
      <c r="N6" s="1090"/>
      <c r="O6" s="1090"/>
      <c r="P6" s="1090"/>
      <c r="Q6" s="1094"/>
      <c r="T6" s="263"/>
      <c r="AC6" s="261"/>
    </row>
    <row r="7" spans="2:29" ht="15.5" x14ac:dyDescent="0.25">
      <c r="B7" s="1192"/>
      <c r="C7" s="1193"/>
      <c r="D7" s="1193"/>
      <c r="E7" s="1193"/>
      <c r="F7" s="1193"/>
      <c r="G7" s="1124"/>
      <c r="H7" s="1193"/>
      <c r="I7" s="1124"/>
      <c r="J7" s="1193"/>
      <c r="K7" s="1193"/>
      <c r="L7" s="1193"/>
      <c r="M7" s="1193"/>
      <c r="N7" s="1193"/>
      <c r="O7" s="1193"/>
      <c r="P7" s="1193"/>
      <c r="Q7" s="1195"/>
      <c r="T7" s="1299" t="s">
        <v>646</v>
      </c>
      <c r="U7" s="1299" t="s">
        <v>649</v>
      </c>
      <c r="V7" s="1299" t="s">
        <v>650</v>
      </c>
      <c r="W7" s="1299" t="s">
        <v>651</v>
      </c>
      <c r="AC7" s="261"/>
    </row>
    <row r="8" spans="2:29" ht="12.5" x14ac:dyDescent="0.25">
      <c r="B8" s="1095"/>
      <c r="C8" s="37" t="s">
        <v>653</v>
      </c>
      <c r="D8" s="37"/>
      <c r="E8" s="1409"/>
      <c r="F8" s="362"/>
      <c r="G8" s="362"/>
      <c r="H8" s="1193"/>
      <c r="I8" s="1410"/>
      <c r="J8" s="1410"/>
      <c r="K8" s="1411"/>
      <c r="L8" s="1101"/>
      <c r="M8" s="1101"/>
      <c r="N8" s="1101"/>
      <c r="O8" s="1101"/>
      <c r="P8" s="1101"/>
      <c r="Q8" s="1099"/>
      <c r="T8" s="786" t="str">
        <f>IF($H8="","N/A",$H8)</f>
        <v>N/A</v>
      </c>
      <c r="U8" s="790" t="e" cm="1" vm="1">
        <f t="array" ref="U8">IF($I8="",VLOOKUP($T8,_xlfn._xlws.FILTER(TransportFuelFactorsTable[[Heavy Vehicle Design Standard]:[Energy content factor (GJ/kL)']]],TransportFuelFactorsTable[Fuel]=$G8),2,FALSE),$I8)</f>
        <v>#VALUE!</v>
      </c>
      <c r="V8" s="790" t="e" cm="1" vm="1">
        <f t="array" ref="V8">IF($J8="",VLOOKUP($T8,_xlfn._xlws.FILTER(TransportFuelFactorsTable[[Heavy Vehicle Design Standard]:[Direct emissions factor (kg CO2-e / GJ)]],TransportFuelFactorsTable[Fuel]=$G8),3,FALSE),$J8)</f>
        <v>#VALUE!</v>
      </c>
      <c r="W8" s="923" t="e" cm="1" vm="1">
        <f t="array" ref="W8">IF($K8="",VLOOKUP($T8,_xlfn._xlws.FILTER(TransportFuelFactorsTable[[Heavy Vehicle Design Standard]:[Embodied emissions factor (kg CO2-e/ GJ)]],TransportFuelFactorsTable[Fuel]=$G8),4,FALSE),$K8)</f>
        <v>#VALUE!</v>
      </c>
      <c r="AC8" s="261"/>
    </row>
    <row r="9" spans="2:29" ht="12.5" x14ac:dyDescent="0.25">
      <c r="B9" s="1095"/>
      <c r="C9" s="37" t="s">
        <v>657</v>
      </c>
      <c r="D9" s="37"/>
      <c r="E9" s="1412"/>
      <c r="F9" s="1413"/>
      <c r="G9" s="1413"/>
      <c r="H9" s="362"/>
      <c r="I9" s="1414"/>
      <c r="J9" s="1415"/>
      <c r="K9" s="1416"/>
      <c r="L9" s="1101"/>
      <c r="M9" s="1101"/>
      <c r="N9" s="1101"/>
      <c r="O9" s="1101"/>
      <c r="P9" s="1101"/>
      <c r="Q9" s="1099"/>
      <c r="T9" s="263" t="str">
        <f t="shared" ref="T9:T11" si="0">IF($H9="","N/A",$H9)</f>
        <v>N/A</v>
      </c>
      <c r="U9" t="e" cm="1" vm="1">
        <f t="array" ref="U9">IF($I9="",VLOOKUP($T9,_xlfn._xlws.FILTER(TransportFuelFactorsTable[[Heavy Vehicle Design Standard]:[Energy content factor (GJ/kL)']]],TransportFuelFactorsTable[Fuel]=$G9),2,FALSE),$I9)</f>
        <v>#VALUE!</v>
      </c>
      <c r="V9" t="e" cm="1" vm="1">
        <f t="array" ref="V9">IF($J9="",VLOOKUP($T9,_xlfn._xlws.FILTER(TransportFuelFactorsTable[[Heavy Vehicle Design Standard]:[Direct emissions factor (kg CO2-e / GJ)]],TransportFuelFactorsTable[Fuel]=$G9),3,FALSE),$J9)</f>
        <v>#VALUE!</v>
      </c>
      <c r="W9" s="261" t="e" cm="1" vm="1">
        <f t="array" ref="W9">IF($K9="",VLOOKUP($T9,_xlfn._xlws.FILTER(TransportFuelFactorsTable[[Heavy Vehicle Design Standard]:[Embodied emissions factor (kg CO2-e/ GJ)]],TransportFuelFactorsTable[Fuel]=$G9),4,FALSE),$K9)</f>
        <v>#VALUE!</v>
      </c>
      <c r="AC9" s="261"/>
    </row>
    <row r="10" spans="2:29" ht="12.5" x14ac:dyDescent="0.25">
      <c r="B10" s="1095"/>
      <c r="C10" s="37" t="s">
        <v>658</v>
      </c>
      <c r="D10" s="37"/>
      <c r="E10" s="1417"/>
      <c r="F10" s="366"/>
      <c r="G10" s="1413"/>
      <c r="H10" s="1413"/>
      <c r="I10" s="1414"/>
      <c r="J10" s="1414"/>
      <c r="K10" s="1418"/>
      <c r="L10" s="1101"/>
      <c r="M10" s="1101"/>
      <c r="N10" s="1101"/>
      <c r="O10" s="1101"/>
      <c r="P10" s="1101"/>
      <c r="Q10" s="1099"/>
      <c r="T10" s="263" t="str">
        <f t="shared" si="0"/>
        <v>N/A</v>
      </c>
      <c r="U10" t="e" cm="1" vm="1">
        <f t="array" ref="U10">IF($I10="",VLOOKUP($T10,_xlfn._xlws.FILTER(TransportFuelFactorsTable[[Heavy Vehicle Design Standard]:[Energy content factor (GJ/kL)']]],TransportFuelFactorsTable[Fuel]=$G10),2,FALSE),$I10)</f>
        <v>#VALUE!</v>
      </c>
      <c r="V10" t="e" cm="1" vm="1">
        <f t="array" ref="V10">IF($J10="",VLOOKUP($T10,_xlfn._xlws.FILTER(TransportFuelFactorsTable[[Heavy Vehicle Design Standard]:[Direct emissions factor (kg CO2-e / GJ)]],TransportFuelFactorsTable[Fuel]=$G10),3,FALSE),$J10)</f>
        <v>#VALUE!</v>
      </c>
      <c r="W10" s="261" t="e" cm="1" vm="1">
        <f t="array" ref="W10">IF($K10="",VLOOKUP($T10,_xlfn._xlws.FILTER(TransportFuelFactorsTable[[Heavy Vehicle Design Standard]:[Embodied emissions factor (kg CO2-e/ GJ)]],TransportFuelFactorsTable[Fuel]=$G10),4,FALSE),$K10)</f>
        <v>#VALUE!</v>
      </c>
      <c r="AC10" s="261"/>
    </row>
    <row r="11" spans="2:29" ht="12.5" x14ac:dyDescent="0.25">
      <c r="B11" s="1095"/>
      <c r="C11" s="37" t="s">
        <v>659</v>
      </c>
      <c r="D11" s="37"/>
      <c r="E11" s="1419"/>
      <c r="F11" s="1420"/>
      <c r="G11" s="408"/>
      <c r="H11" s="1413"/>
      <c r="I11" s="1421"/>
      <c r="J11" s="1421"/>
      <c r="K11" s="1422"/>
      <c r="L11" s="1101"/>
      <c r="M11" s="1101"/>
      <c r="N11" s="1101"/>
      <c r="O11" s="1101"/>
      <c r="P11" s="1101"/>
      <c r="Q11" s="1099"/>
      <c r="T11" s="321" t="str">
        <f t="shared" si="0"/>
        <v>N/A</v>
      </c>
      <c r="U11" s="322" t="e" cm="1" vm="1">
        <f t="array" ref="U11">IF($I11="",VLOOKUP($T11,_xlfn._xlws.FILTER(TransportFuelFactorsTable[[Heavy Vehicle Design Standard]:[Energy content factor (GJ/kL)']]],TransportFuelFactorsTable[Fuel]=$G11),2,FALSE),$I11)</f>
        <v>#VALUE!</v>
      </c>
      <c r="V11" s="322" t="e" cm="1" vm="1">
        <f t="array" ref="V11">IF($J11="",VLOOKUP($T11,_xlfn._xlws.FILTER(TransportFuelFactorsTable[[Heavy Vehicle Design Standard]:[Direct emissions factor (kg CO2-e / GJ)]],TransportFuelFactorsTable[Fuel]=$G11),3,FALSE),$J11)</f>
        <v>#VALUE!</v>
      </c>
      <c r="W11" s="924" t="e" cm="1" vm="1">
        <f t="array" ref="W11">IF($K11="",VLOOKUP($T11,_xlfn._xlws.FILTER(TransportFuelFactorsTable[[Heavy Vehicle Design Standard]:[Embodied emissions factor (kg CO2-e/ GJ)]],TransportFuelFactorsTable[Fuel]=$G11),4,FALSE),$K11)</f>
        <v>#VALUE!</v>
      </c>
      <c r="AC11" s="261"/>
    </row>
    <row r="12" spans="2:29" ht="15.5" x14ac:dyDescent="0.25">
      <c r="B12" s="1105"/>
      <c r="C12" s="1375"/>
      <c r="D12" s="1375"/>
      <c r="E12" s="1375"/>
      <c r="F12" s="1376"/>
      <c r="G12" s="1284"/>
      <c r="H12" s="408"/>
      <c r="I12" s="1284"/>
      <c r="J12" s="1106"/>
      <c r="K12" s="1106"/>
      <c r="L12" s="1106"/>
      <c r="M12" s="1106"/>
      <c r="N12" s="1106"/>
      <c r="O12" s="1106"/>
      <c r="P12" s="1106"/>
      <c r="Q12" s="1107"/>
      <c r="T12" s="263"/>
      <c r="AC12" s="261"/>
    </row>
    <row r="13" spans="2:29" ht="12.5" x14ac:dyDescent="0.25">
      <c r="T13" s="263"/>
      <c r="AC13" s="261"/>
    </row>
    <row r="14" spans="2:29" ht="12.5" x14ac:dyDescent="0.25">
      <c r="B14" s="1081"/>
      <c r="C14" s="1082"/>
      <c r="D14" s="1082"/>
      <c r="E14" s="1082"/>
      <c r="F14" s="1082"/>
      <c r="G14" s="1082"/>
      <c r="H14" s="1082"/>
      <c r="I14" s="1082"/>
      <c r="J14" s="1082"/>
      <c r="K14" s="1082"/>
      <c r="L14" s="1082"/>
      <c r="M14" s="1082"/>
      <c r="N14" s="1082"/>
      <c r="O14" s="1082"/>
      <c r="P14" s="1082"/>
      <c r="Q14" s="1083"/>
      <c r="T14" s="263"/>
      <c r="AC14" s="261"/>
    </row>
    <row r="15" spans="2:29" ht="15.5" x14ac:dyDescent="0.25">
      <c r="B15" s="1084"/>
      <c r="C15" s="1109" t="s">
        <v>660</v>
      </c>
      <c r="D15" s="1086"/>
      <c r="E15" s="1086"/>
      <c r="F15" s="1086"/>
      <c r="G15" s="1086"/>
      <c r="H15" s="1086"/>
      <c r="I15" s="1086"/>
      <c r="J15" s="1086"/>
      <c r="K15" s="1086"/>
      <c r="L15" s="1086"/>
      <c r="M15" s="1086"/>
      <c r="N15" s="1086"/>
      <c r="O15" s="1086"/>
      <c r="P15" s="1086"/>
      <c r="Q15" s="1087"/>
      <c r="T15" s="263"/>
      <c r="AC15" s="261"/>
    </row>
    <row r="16" spans="2:29" ht="15.5" x14ac:dyDescent="0.25">
      <c r="B16" s="1089"/>
      <c r="C16" s="1090"/>
      <c r="D16" s="1090"/>
      <c r="E16" s="1091" t="s">
        <v>661</v>
      </c>
      <c r="F16" s="1091" t="s">
        <v>662</v>
      </c>
      <c r="G16" s="1091" t="s">
        <v>663</v>
      </c>
      <c r="H16" s="1253" t="s">
        <v>664</v>
      </c>
      <c r="I16" s="1092"/>
      <c r="J16" s="1090"/>
      <c r="K16" s="1090"/>
      <c r="L16" s="1090"/>
      <c r="M16" s="1090"/>
      <c r="N16" s="1090"/>
      <c r="O16" s="1377" t="s">
        <v>665</v>
      </c>
      <c r="P16" s="1377" t="s">
        <v>257</v>
      </c>
      <c r="Q16" s="1094"/>
      <c r="T16" s="263"/>
      <c r="AC16" s="261"/>
    </row>
    <row r="17" spans="2:29" ht="15.5" x14ac:dyDescent="0.25">
      <c r="B17" s="1095"/>
      <c r="C17" s="1096"/>
      <c r="D17" s="1096"/>
      <c r="E17" s="1096"/>
      <c r="F17" s="1096"/>
      <c r="G17" s="1096"/>
      <c r="H17" s="1098"/>
      <c r="I17" s="1098"/>
      <c r="J17" s="1096"/>
      <c r="K17" s="1096"/>
      <c r="L17" s="1096"/>
      <c r="M17" s="1096"/>
      <c r="N17" s="1096"/>
      <c r="O17" s="1097"/>
      <c r="P17" s="1097"/>
      <c r="Q17" s="1099"/>
      <c r="T17" s="1299" t="s">
        <v>662</v>
      </c>
      <c r="U17" s="1299" t="s">
        <v>667</v>
      </c>
      <c r="V17" s="1299" t="s">
        <v>664</v>
      </c>
      <c r="W17" s="1299" t="s">
        <v>668</v>
      </c>
      <c r="X17" s="1299" t="s">
        <v>669</v>
      </c>
      <c r="Y17" s="1299" t="s">
        <v>670</v>
      </c>
      <c r="AC17" s="261"/>
    </row>
    <row r="18" spans="2:29" ht="15.5" x14ac:dyDescent="0.25">
      <c r="B18" s="1095"/>
      <c r="C18" s="37" t="s">
        <v>653</v>
      </c>
      <c r="D18" s="37"/>
      <c r="E18" s="1409"/>
      <c r="F18" s="362"/>
      <c r="G18" s="362"/>
      <c r="H18" s="1423"/>
      <c r="I18" s="1098"/>
      <c r="J18" s="1096"/>
      <c r="K18" s="1096"/>
      <c r="L18" s="1096"/>
      <c r="M18" s="1096"/>
      <c r="N18" s="1378"/>
      <c r="O18" s="1379">
        <f>IFERROR(IF($Y18=TRUE,W18,0),'Hidden Lists and Summaries'!$C$158)</f>
        <v>0</v>
      </c>
      <c r="P18" s="1380">
        <f>IFERROR(IF($Y18=TRUE,X18,0),'Hidden Lists and Summaries'!$C$158)</f>
        <v>0</v>
      </c>
      <c r="Q18" s="1099"/>
      <c r="T18" s="1381" t="e" cm="1">
        <f t="array" ref="T18">_xlfn.IFS($E18='Hidden Lists and Summaries'!$B$82,$F18,$E18='Hidden Lists and Summaries'!$B$83,U18*V18*100/1000)</f>
        <v>#N/A</v>
      </c>
      <c r="U18" s="1382">
        <f>G18</f>
        <v>0</v>
      </c>
      <c r="V18" s="1382" t="str" cm="1">
        <f t="array" ref="V18">IF(H18&lt;&gt;"",H18,IFERROR(VLOOKUP(G8,_xlfn._xlws.FILTER(Table73[[Fuel Type]:[Default fuel efficiency (L/ 100km)]],Table73[Truck Type]=F8),2,FALSE),'Hidden Lists and Summaries'!$C$157))</f>
        <v>No default, please enter a bespoke value</v>
      </c>
      <c r="W18" s="1382" t="e">
        <f>T18*U8*V8</f>
        <v>#N/A</v>
      </c>
      <c r="X18" s="1383" t="e">
        <f>T18*U8*W8</f>
        <v>#N/A</v>
      </c>
      <c r="Y18" s="783" t="b">
        <f>$E8='Hidden Lists and Summaries'!$B$78</f>
        <v>0</v>
      </c>
      <c r="AC18" s="261"/>
    </row>
    <row r="19" spans="2:29" ht="15.5" x14ac:dyDescent="0.25">
      <c r="B19" s="1095"/>
      <c r="C19" s="37" t="s">
        <v>657</v>
      </c>
      <c r="D19" s="37"/>
      <c r="E19" s="1412"/>
      <c r="F19" s="366"/>
      <c r="G19" s="366"/>
      <c r="H19" s="1424"/>
      <c r="I19" s="1098"/>
      <c r="J19" s="1096"/>
      <c r="K19" s="1096"/>
      <c r="L19" s="1096"/>
      <c r="M19" s="1096"/>
      <c r="N19" s="1384"/>
      <c r="O19" s="1304">
        <f>IFERROR(IF($Y19=TRUE,W19,0),'Hidden Lists and Summaries'!$C$158)</f>
        <v>0</v>
      </c>
      <c r="P19" s="1385">
        <f>IFERROR(IF($Y19=TRUE,X19,0),'Hidden Lists and Summaries'!$C$158)</f>
        <v>0</v>
      </c>
      <c r="Q19" s="1099"/>
      <c r="T19" s="530" t="e" cm="1">
        <f t="array" ref="T19">_xlfn.IFS($E19='Hidden Lists and Summaries'!$B$82,$F19,$E19='Hidden Lists and Summaries'!$B$83,U19*V19*100/1000)</f>
        <v>#N/A</v>
      </c>
      <c r="U19" s="227">
        <f>G19</f>
        <v>0</v>
      </c>
      <c r="V19" s="227" t="str" cm="1">
        <f t="array" ref="V19">IF(H19&lt;&gt;"",H19,IFERROR(VLOOKUP(G9,_xlfn._xlws.FILTER(Table73[[Fuel Type]:[Default fuel efficiency (L/ 100km)]],Table73[Truck Type]=F9),2,FALSE),'Hidden Lists and Summaries'!$C$157))</f>
        <v>No default, please enter a bespoke value</v>
      </c>
      <c r="W19" s="227" t="e">
        <f>T19*V9*W9</f>
        <v>#N/A</v>
      </c>
      <c r="X19" s="1386" t="e">
        <f t="shared" ref="X19:X21" si="1">T19*U9*W9</f>
        <v>#N/A</v>
      </c>
      <c r="Y19" s="784" t="b">
        <f>$E9='Hidden Lists and Summaries'!$B$78</f>
        <v>0</v>
      </c>
      <c r="AC19" s="261"/>
    </row>
    <row r="20" spans="2:29" ht="15.5" x14ac:dyDescent="0.25">
      <c r="B20" s="1095"/>
      <c r="C20" s="37" t="s">
        <v>658</v>
      </c>
      <c r="D20" s="37"/>
      <c r="E20" s="1412"/>
      <c r="F20" s="366"/>
      <c r="G20" s="366"/>
      <c r="H20" s="1424"/>
      <c r="I20" s="1098"/>
      <c r="J20" s="1096"/>
      <c r="K20" s="1096"/>
      <c r="L20" s="1096"/>
      <c r="M20" s="1096"/>
      <c r="N20" s="1384"/>
      <c r="O20" s="1304">
        <f>IFERROR(IF($Y20=TRUE,W20,0),'Hidden Lists and Summaries'!$C$158)</f>
        <v>0</v>
      </c>
      <c r="P20" s="1385">
        <f>IFERROR(IF($Y20=TRUE,X20,0),'Hidden Lists and Summaries'!$C$158)</f>
        <v>0</v>
      </c>
      <c r="Q20" s="1099"/>
      <c r="T20" s="530" t="e" cm="1">
        <f t="array" ref="T20">_xlfn.IFS($E20='Hidden Lists and Summaries'!$B$82,$F20,$E20='Hidden Lists and Summaries'!$B$83,U20*V20*100/1000)</f>
        <v>#N/A</v>
      </c>
      <c r="U20" s="227">
        <f>G20</f>
        <v>0</v>
      </c>
      <c r="V20" s="227" t="str" cm="1">
        <f t="array" ref="V20">IF(H20&lt;&gt;"",H20,IFERROR(VLOOKUP(G10,_xlfn._xlws.FILTER(Table73[[Fuel Type]:[Default fuel efficiency (L/ 100km)]],Table73[Truck Type]=F10),2,FALSE),'Hidden Lists and Summaries'!$C$157))</f>
        <v>No default, please enter a bespoke value</v>
      </c>
      <c r="W20" s="227" t="e">
        <f>T20*V10*W10</f>
        <v>#N/A</v>
      </c>
      <c r="X20" s="1386" t="e">
        <f t="shared" si="1"/>
        <v>#N/A</v>
      </c>
      <c r="Y20" s="784" t="b">
        <f>$E10='Hidden Lists and Summaries'!$B$78</f>
        <v>0</v>
      </c>
      <c r="AC20" s="261"/>
    </row>
    <row r="21" spans="2:29" ht="15.5" x14ac:dyDescent="0.25">
      <c r="B21" s="1095"/>
      <c r="C21" s="37" t="s">
        <v>659</v>
      </c>
      <c r="D21" s="37"/>
      <c r="E21" s="1419"/>
      <c r="F21" s="371"/>
      <c r="G21" s="1420"/>
      <c r="H21" s="1425"/>
      <c r="I21" s="1098"/>
      <c r="J21" s="1096"/>
      <c r="K21" s="1096"/>
      <c r="L21" s="1096"/>
      <c r="M21" s="1096"/>
      <c r="N21" s="1384"/>
      <c r="O21" s="1304">
        <f>IFERROR(IF($Y21=TRUE,W21,0),'Hidden Lists and Summaries'!$C$158)</f>
        <v>0</v>
      </c>
      <c r="P21" s="1385">
        <f>IFERROR(IF($Y21=TRUE,X21,0),'Hidden Lists and Summaries'!$C$158)</f>
        <v>0</v>
      </c>
      <c r="Q21" s="1099"/>
      <c r="T21" s="1387" t="e" cm="1">
        <f t="array" ref="T21">_xlfn.IFS($E21='Hidden Lists and Summaries'!$B$82,$F21,$E21='Hidden Lists and Summaries'!$B$83,U21*V21*100/1000)</f>
        <v>#N/A</v>
      </c>
      <c r="U21" s="1388">
        <f>G21</f>
        <v>0</v>
      </c>
      <c r="V21" s="1388" t="str" cm="1">
        <f t="array" ref="V21">IF(H21&lt;&gt;"",H21,IFERROR(VLOOKUP(G11,_xlfn._xlws.FILTER(Table73[[Fuel Type]:[Default fuel efficiency (L/ 100km)]],Table73[Truck Type]=F11),2,FALSE),'Hidden Lists and Summaries'!$C$157))</f>
        <v>No default, please enter a bespoke value</v>
      </c>
      <c r="W21" s="1388" t="e">
        <f>T21*V11*W11</f>
        <v>#N/A</v>
      </c>
      <c r="X21" s="1389" t="e">
        <f t="shared" si="1"/>
        <v>#N/A</v>
      </c>
      <c r="Y21" s="785" t="b">
        <f>$E11='Hidden Lists and Summaries'!$B$78</f>
        <v>0</v>
      </c>
      <c r="AC21" s="261"/>
    </row>
    <row r="22" spans="2:29" ht="13" x14ac:dyDescent="0.25">
      <c r="B22" s="1105"/>
      <c r="C22" s="1106"/>
      <c r="D22" s="1106"/>
      <c r="E22" s="1106"/>
      <c r="F22" s="1106"/>
      <c r="G22" s="1106"/>
      <c r="H22" s="1106"/>
      <c r="I22" s="1106"/>
      <c r="J22" s="1106"/>
      <c r="K22" s="1106"/>
      <c r="L22" s="1106"/>
      <c r="M22" s="1106"/>
      <c r="N22" s="1390" t="s">
        <v>120</v>
      </c>
      <c r="O22" s="1391">
        <f>SUM(O18:O21)</f>
        <v>0</v>
      </c>
      <c r="P22" s="1392">
        <f>SUM(P18:P21)</f>
        <v>0</v>
      </c>
      <c r="Q22" s="1107"/>
      <c r="T22" s="263"/>
      <c r="AC22" s="261"/>
    </row>
    <row r="23" spans="2:29" ht="12.5" x14ac:dyDescent="0.25">
      <c r="T23" s="263"/>
      <c r="AC23" s="261"/>
    </row>
    <row r="24" spans="2:29" ht="12.5" x14ac:dyDescent="0.25">
      <c r="B24" s="1081"/>
      <c r="C24" s="1082"/>
      <c r="D24" s="1082"/>
      <c r="E24" s="1082"/>
      <c r="F24" s="1082"/>
      <c r="G24" s="1082"/>
      <c r="H24" s="1082"/>
      <c r="I24" s="1082"/>
      <c r="J24" s="1082"/>
      <c r="K24" s="1082"/>
      <c r="L24" s="1082"/>
      <c r="M24" s="1082"/>
      <c r="N24" s="1082"/>
      <c r="O24" s="1082"/>
      <c r="P24" s="1082"/>
      <c r="Q24" s="1083"/>
      <c r="T24" s="263"/>
      <c r="AC24" s="261"/>
    </row>
    <row r="25" spans="2:29" ht="15.5" x14ac:dyDescent="0.25">
      <c r="B25" s="1084"/>
      <c r="C25" s="1109" t="s">
        <v>672</v>
      </c>
      <c r="D25" s="1086"/>
      <c r="E25" s="1086"/>
      <c r="F25" s="1086"/>
      <c r="G25" s="1086"/>
      <c r="H25" s="1086"/>
      <c r="I25" s="1086"/>
      <c r="J25" s="1086"/>
      <c r="K25" s="1086"/>
      <c r="L25" s="1086"/>
      <c r="M25" s="1086"/>
      <c r="N25" s="1086"/>
      <c r="O25" s="1086"/>
      <c r="P25" s="1086"/>
      <c r="Q25" s="1087"/>
      <c r="T25" s="263"/>
      <c r="AC25" s="261"/>
    </row>
    <row r="26" spans="2:29" ht="15.5" x14ac:dyDescent="0.25">
      <c r="B26" s="1089"/>
      <c r="C26" s="1090"/>
      <c r="D26" s="1090"/>
      <c r="E26" s="1091" t="s">
        <v>661</v>
      </c>
      <c r="F26" s="1091" t="s">
        <v>673</v>
      </c>
      <c r="G26" s="1091" t="s">
        <v>663</v>
      </c>
      <c r="H26" s="1091" t="s">
        <v>674</v>
      </c>
      <c r="I26" s="1253" t="s">
        <v>941</v>
      </c>
      <c r="J26" s="1253" t="s">
        <v>942</v>
      </c>
      <c r="K26" s="1090"/>
      <c r="L26" s="1090"/>
      <c r="M26" s="1090"/>
      <c r="N26" s="1090"/>
      <c r="O26" s="1377" t="s">
        <v>665</v>
      </c>
      <c r="P26" s="1377" t="s">
        <v>257</v>
      </c>
      <c r="Q26" s="1094"/>
      <c r="T26" s="263"/>
      <c r="AC26" s="261"/>
    </row>
    <row r="27" spans="2:29" ht="15.5" x14ac:dyDescent="0.25">
      <c r="B27" s="1095"/>
      <c r="C27" s="1096"/>
      <c r="D27" s="1096"/>
      <c r="E27" s="1096"/>
      <c r="F27" s="1096"/>
      <c r="G27" s="1096"/>
      <c r="H27" s="1096"/>
      <c r="I27" s="1098"/>
      <c r="J27" s="1098"/>
      <c r="K27" s="1096"/>
      <c r="L27" s="1096"/>
      <c r="M27" s="1096"/>
      <c r="N27" s="1096"/>
      <c r="O27" s="1096"/>
      <c r="P27" s="1096"/>
      <c r="Q27" s="1099"/>
      <c r="T27" s="1299" t="s">
        <v>677</v>
      </c>
      <c r="U27" s="1299" t="s">
        <v>674</v>
      </c>
      <c r="V27" s="1299" t="s">
        <v>678</v>
      </c>
      <c r="W27" s="1299" t="s">
        <v>679</v>
      </c>
      <c r="X27" s="1299" t="s">
        <v>872</v>
      </c>
      <c r="Y27" s="1299" t="s">
        <v>668</v>
      </c>
      <c r="Z27" s="1299" t="s">
        <v>669</v>
      </c>
      <c r="AA27" s="1299" t="s">
        <v>670</v>
      </c>
      <c r="AC27" s="261"/>
    </row>
    <row r="28" spans="2:29" ht="15.5" x14ac:dyDescent="0.25">
      <c r="B28" s="1095"/>
      <c r="C28" s="37" t="s">
        <v>653</v>
      </c>
      <c r="D28" s="37"/>
      <c r="E28" s="1409"/>
      <c r="F28" s="1426"/>
      <c r="G28" s="362"/>
      <c r="H28" s="362"/>
      <c r="I28" s="362"/>
      <c r="J28" s="1423"/>
      <c r="K28" s="1096"/>
      <c r="L28" s="1096"/>
      <c r="M28" s="1096"/>
      <c r="N28" s="1378"/>
      <c r="O28" s="1393">
        <f>IFERROR(IF(AA28=TRUE,$Y28,0),'Hidden Lists and Summaries'!$C$158)</f>
        <v>0</v>
      </c>
      <c r="P28" s="1394">
        <f>IFERROR(IF($AA28=TRUE, $Z28, 0),'Hidden Lists and Summaries'!$C$158)</f>
        <v>0</v>
      </c>
      <c r="Q28" s="1099"/>
      <c r="T28" s="1381">
        <f>$G28</f>
        <v>0</v>
      </c>
      <c r="U28" s="1382">
        <f>$H28</f>
        <v>0</v>
      </c>
      <c r="V28" s="790">
        <f>$F28</f>
        <v>0</v>
      </c>
      <c r="W28" s="790" t="e" cm="1">
        <f t="array" ref="W28">_xlfn.IFS(($E28='Hidden Lists and Summaries'!$B$87) * ($I28&lt;&gt;""),$I28,$E28='Hidden Lists and Summaries'!$B$87,VLOOKUP($F8,Transport_Distance_Based_Emission_Factors_Table[],2,FALSE), $E28='Hidden Lists and Summaries'!$B$86,$U28*$U8/1000*$V8)</f>
        <v>#N/A</v>
      </c>
      <c r="X28" s="790" t="e" cm="1">
        <f t="array" ref="X28">_xlfn.IFS(($E28='Hidden Lists and Summaries'!$B$87)*($J28&lt;&gt;""),$J28,$E28='Hidden Lists and Summaries'!$B$87,VLOOKUP($F8,Transport_Distance_Based_Emission_Factors_Table[],3,FALSE), $E28='Hidden Lists and Summaries'!$B$86,$U28*$U8/1000*$W8)</f>
        <v>#N/A</v>
      </c>
      <c r="Y28" s="1382" t="e">
        <f>$W28*$T28*$V28</f>
        <v>#N/A</v>
      </c>
      <c r="Z28" s="1383" t="e">
        <f>$X28*$T28*$V28</f>
        <v>#N/A</v>
      </c>
      <c r="AA28" s="783" t="b">
        <f>$E8='Hidden Lists and Summaries'!$B$79</f>
        <v>0</v>
      </c>
      <c r="AC28" s="261"/>
    </row>
    <row r="29" spans="2:29" ht="15.5" x14ac:dyDescent="0.25">
      <c r="B29" s="1095"/>
      <c r="C29" s="37" t="s">
        <v>657</v>
      </c>
      <c r="D29" s="37"/>
      <c r="E29" s="1412"/>
      <c r="F29" s="1427"/>
      <c r="G29" s="366"/>
      <c r="H29" s="366"/>
      <c r="I29" s="366"/>
      <c r="J29" s="1424"/>
      <c r="K29" s="1096"/>
      <c r="L29" s="1096"/>
      <c r="M29" s="1096"/>
      <c r="N29" s="1384"/>
      <c r="O29" s="1304">
        <f>IFERROR(IF(AA29=TRUE,$Y29,0),'Hidden Lists and Summaries'!$C$158)</f>
        <v>0</v>
      </c>
      <c r="P29" s="1385">
        <f>IFERROR(IF($AA29=TRUE, $Z29, 0),'Hidden Lists and Summaries'!$C$158)</f>
        <v>0</v>
      </c>
      <c r="Q29" s="1099"/>
      <c r="T29" s="530">
        <f>$G29</f>
        <v>0</v>
      </c>
      <c r="U29" s="227">
        <f>$H29</f>
        <v>0</v>
      </c>
      <c r="V29">
        <f>$F29</f>
        <v>0</v>
      </c>
      <c r="W29" t="e" cm="1">
        <f t="array" ref="W29">_xlfn.IFS(($E29='Hidden Lists and Summaries'!$B$87) * ($I29&lt;&gt;""),$I29,$E29='Hidden Lists and Summaries'!$B$87,VLOOKUP($F9,Transport_Distance_Based_Emission_Factors_Table[],2,FALSE), $E29='Hidden Lists and Summaries'!$B$86,$U29*$U9/1000*$V9)</f>
        <v>#N/A</v>
      </c>
      <c r="X29" t="e" cm="1">
        <f t="array" ref="X29">_xlfn.IFS($E29='Hidden Lists and Summaries'!$B$87,VLOOKUP($F9,Transport_Distance_Based_Emission_Factors_Table[],3,FALSE), $E29='Hidden Lists and Summaries'!$B$86,$U29*$U9/1000*$W9)</f>
        <v>#N/A</v>
      </c>
      <c r="Y29" s="227" t="e">
        <f t="shared" ref="Y29:Y31" si="2">$W29*$T29*$V29</f>
        <v>#N/A</v>
      </c>
      <c r="Z29" s="1386" t="e">
        <f t="shared" ref="Z29:Z31" si="3">$X29*$T29*$V29</f>
        <v>#N/A</v>
      </c>
      <c r="AA29" s="784" t="b">
        <f>$E9='Hidden Lists and Summaries'!$B$79</f>
        <v>0</v>
      </c>
      <c r="AC29" s="261"/>
    </row>
    <row r="30" spans="2:29" ht="15.5" x14ac:dyDescent="0.25">
      <c r="B30" s="1095"/>
      <c r="C30" s="37" t="s">
        <v>658</v>
      </c>
      <c r="D30" s="37"/>
      <c r="E30" s="1412"/>
      <c r="F30" s="1428"/>
      <c r="G30" s="366"/>
      <c r="H30" s="366"/>
      <c r="I30" s="366"/>
      <c r="J30" s="1424"/>
      <c r="K30" s="1096"/>
      <c r="L30" s="1096"/>
      <c r="M30" s="1096"/>
      <c r="N30" s="1384"/>
      <c r="O30" s="1304">
        <f>IFERROR(IF(AA30=TRUE,$Y30,0),'Hidden Lists and Summaries'!$C$158)</f>
        <v>0</v>
      </c>
      <c r="P30" s="1385">
        <f>IFERROR(IF($AA30=TRUE, $Z30, 0),'Hidden Lists and Summaries'!$C$158)</f>
        <v>0</v>
      </c>
      <c r="Q30" s="1099"/>
      <c r="T30" s="530">
        <f>$G30</f>
        <v>0</v>
      </c>
      <c r="U30" s="227">
        <f>$H30</f>
        <v>0</v>
      </c>
      <c r="V30">
        <f>$F30</f>
        <v>0</v>
      </c>
      <c r="W30" t="e" cm="1">
        <f t="array" ref="W30">_xlfn.IFS(($E30='Hidden Lists and Summaries'!$B$87) * ($I30&lt;&gt;""),$I30,$E30='Hidden Lists and Summaries'!$B$87,VLOOKUP($F10,Transport_Distance_Based_Emission_Factors_Table[],2,FALSE), $E30='Hidden Lists and Summaries'!$B$86,$U30*$U10/1000*$V10)</f>
        <v>#N/A</v>
      </c>
      <c r="X30" t="e" cm="1">
        <f t="array" ref="X30">_xlfn.IFS($E30='Hidden Lists and Summaries'!$B$87,VLOOKUP($F10,Transport_Distance_Based_Emission_Factors_Table[],3,FALSE), $E30='Hidden Lists and Summaries'!$B$86,$U30*$U10/1000*$W10)</f>
        <v>#N/A</v>
      </c>
      <c r="Y30" s="227" t="e">
        <f t="shared" si="2"/>
        <v>#N/A</v>
      </c>
      <c r="Z30" s="1386" t="e">
        <f t="shared" si="3"/>
        <v>#N/A</v>
      </c>
      <c r="AA30" s="784" t="b">
        <f>$E10='Hidden Lists and Summaries'!$B$79</f>
        <v>0</v>
      </c>
      <c r="AC30" s="261"/>
    </row>
    <row r="31" spans="2:29" ht="15.5" x14ac:dyDescent="0.25">
      <c r="B31" s="1095"/>
      <c r="C31" s="37" t="s">
        <v>659</v>
      </c>
      <c r="D31" s="37"/>
      <c r="E31" s="1419"/>
      <c r="F31" s="1429"/>
      <c r="G31" s="1420"/>
      <c r="H31" s="371"/>
      <c r="I31" s="371"/>
      <c r="J31" s="1425"/>
      <c r="K31" s="1096"/>
      <c r="L31" s="1096"/>
      <c r="M31" s="1096"/>
      <c r="N31" s="1384"/>
      <c r="O31" s="1304">
        <f>IFERROR(IF(AA31=TRUE,$Y31,0),'Hidden Lists and Summaries'!$C$158)</f>
        <v>0</v>
      </c>
      <c r="P31" s="1385">
        <f>IFERROR(IF($AA31=TRUE, $Z31, 0),'Hidden Lists and Summaries'!$C$158)</f>
        <v>0</v>
      </c>
      <c r="Q31" s="1099"/>
      <c r="T31" s="1387">
        <f>$G31</f>
        <v>0</v>
      </c>
      <c r="U31" s="1388">
        <f>$H31</f>
        <v>0</v>
      </c>
      <c r="V31" s="322">
        <f>$F31</f>
        <v>0</v>
      </c>
      <c r="W31" s="322" t="e" cm="1">
        <f t="array" ref="W31">_xlfn.IFS(($E31='Hidden Lists and Summaries'!$B$87) * ($I31&lt;&gt;""),$I31,$E31='Hidden Lists and Summaries'!$B$87,VLOOKUP($F11,Transport_Distance_Based_Emission_Factors_Table[],2,FALSE), $E31='Hidden Lists and Summaries'!$B$86,$U31*$U11/1000*$V11)</f>
        <v>#N/A</v>
      </c>
      <c r="X31" s="322" t="e" cm="1">
        <f t="array" ref="X31">_xlfn.IFS($E31='Hidden Lists and Summaries'!$B$87,VLOOKUP($F11,Transport_Distance_Based_Emission_Factors_Table[],3,FALSE), $E31='Hidden Lists and Summaries'!$B$86,$U31*$U11/1000*$W11)</f>
        <v>#N/A</v>
      </c>
      <c r="Y31" s="1388" t="e">
        <f t="shared" si="2"/>
        <v>#N/A</v>
      </c>
      <c r="Z31" s="1389" t="e">
        <f t="shared" si="3"/>
        <v>#N/A</v>
      </c>
      <c r="AA31" s="785" t="b">
        <f>$E11='Hidden Lists and Summaries'!$B$79</f>
        <v>0</v>
      </c>
      <c r="AC31" s="261"/>
    </row>
    <row r="32" spans="2:29" ht="13" x14ac:dyDescent="0.25">
      <c r="B32" s="1105"/>
      <c r="C32" s="1106"/>
      <c r="D32" s="1106"/>
      <c r="E32" s="1106"/>
      <c r="F32" s="1106"/>
      <c r="G32" s="1106"/>
      <c r="H32" s="1106"/>
      <c r="I32" s="1106"/>
      <c r="J32" s="1106"/>
      <c r="K32" s="1106"/>
      <c r="L32" s="1106"/>
      <c r="M32" s="1106"/>
      <c r="N32" s="1390" t="s">
        <v>120</v>
      </c>
      <c r="O32" s="1391">
        <f>SUM(O28:O31)</f>
        <v>0</v>
      </c>
      <c r="P32" s="1392">
        <f>SUM(P28:P31)</f>
        <v>0</v>
      </c>
      <c r="Q32" s="1107"/>
      <c r="T32" s="263"/>
      <c r="AC32" s="261"/>
    </row>
    <row r="33" spans="1:33" ht="12.5" x14ac:dyDescent="0.25">
      <c r="T33" s="263"/>
      <c r="AC33" s="261"/>
    </row>
    <row r="34" spans="1:33" ht="12.5" x14ac:dyDescent="0.25">
      <c r="B34" s="1081"/>
      <c r="C34" s="1082"/>
      <c r="D34" s="1082"/>
      <c r="E34" s="1082"/>
      <c r="F34" s="1082"/>
      <c r="G34" s="1082"/>
      <c r="H34" s="1082"/>
      <c r="I34" s="1082"/>
      <c r="J34" s="1082"/>
      <c r="K34" s="1082"/>
      <c r="L34" s="1082"/>
      <c r="M34" s="1082"/>
      <c r="N34" s="1082"/>
      <c r="O34" s="1082"/>
      <c r="P34" s="1082"/>
      <c r="Q34" s="1083"/>
      <c r="T34" s="263"/>
      <c r="AC34" s="261"/>
    </row>
    <row r="35" spans="1:33" ht="15.5" x14ac:dyDescent="0.25">
      <c r="B35" s="1084"/>
      <c r="C35" s="1109" t="s">
        <v>681</v>
      </c>
      <c r="D35" s="1086"/>
      <c r="E35" s="1086"/>
      <c r="F35" s="1086"/>
      <c r="G35" s="1086"/>
      <c r="H35" s="1086"/>
      <c r="I35" s="1086"/>
      <c r="J35" s="1086"/>
      <c r="K35" s="1086"/>
      <c r="L35" s="1086"/>
      <c r="M35" s="1086"/>
      <c r="N35" s="1086"/>
      <c r="O35" s="1086"/>
      <c r="P35" s="1086"/>
      <c r="Q35" s="1087"/>
      <c r="T35" s="263"/>
      <c r="AC35" s="261"/>
    </row>
    <row r="36" spans="1:33" ht="15.5" x14ac:dyDescent="0.25">
      <c r="B36" s="1089"/>
      <c r="C36" s="1090"/>
      <c r="D36" s="1090"/>
      <c r="E36" s="1091" t="s">
        <v>682</v>
      </c>
      <c r="F36" s="1091" t="s">
        <v>683</v>
      </c>
      <c r="G36" s="1111" t="s">
        <v>673</v>
      </c>
      <c r="H36" s="1091" t="s">
        <v>684</v>
      </c>
      <c r="I36" s="1091" t="s">
        <v>663</v>
      </c>
      <c r="J36" s="1090"/>
      <c r="K36" s="1090"/>
      <c r="L36" s="1090"/>
      <c r="M36" s="1090"/>
      <c r="N36" s="1090"/>
      <c r="O36" s="1377" t="s">
        <v>665</v>
      </c>
      <c r="P36" s="1377" t="s">
        <v>257</v>
      </c>
      <c r="Q36" s="1094"/>
      <c r="T36" s="263"/>
      <c r="AC36" s="261"/>
    </row>
    <row r="37" spans="1:33" ht="15.5" x14ac:dyDescent="0.25">
      <c r="A37" s="261"/>
      <c r="B37" s="1095"/>
      <c r="C37" s="1096"/>
      <c r="D37" s="1096"/>
      <c r="E37" s="1096"/>
      <c r="F37" s="1096"/>
      <c r="G37" s="1098"/>
      <c r="H37" s="1096"/>
      <c r="I37" s="1096"/>
      <c r="J37" s="1096"/>
      <c r="K37" s="1096"/>
      <c r="L37" s="1096"/>
      <c r="M37" s="1096"/>
      <c r="N37" s="1096"/>
      <c r="O37" s="1096"/>
      <c r="P37" s="1096"/>
      <c r="Q37" s="1099"/>
      <c r="T37" s="1299" t="s">
        <v>663</v>
      </c>
      <c r="U37" s="1299" t="s">
        <v>685</v>
      </c>
      <c r="V37" s="1299" t="s">
        <v>686</v>
      </c>
      <c r="W37" s="1299" t="s">
        <v>687</v>
      </c>
      <c r="X37" s="1299" t="s">
        <v>688</v>
      </c>
      <c r="Y37" s="1299" t="s">
        <v>689</v>
      </c>
      <c r="Z37" s="1299" t="s">
        <v>690</v>
      </c>
      <c r="AA37" s="1299" t="s">
        <v>691</v>
      </c>
      <c r="AB37" s="1299" t="s">
        <v>692</v>
      </c>
      <c r="AC37" s="1395" t="s">
        <v>693</v>
      </c>
    </row>
    <row r="38" spans="1:33" ht="15.5" x14ac:dyDescent="0.25">
      <c r="B38" s="1095"/>
      <c r="C38" s="37" t="s">
        <v>653</v>
      </c>
      <c r="D38" s="37"/>
      <c r="E38" s="1409"/>
      <c r="F38" s="1426"/>
      <c r="G38" s="1430"/>
      <c r="H38" s="1431"/>
      <c r="I38" s="1432"/>
      <c r="J38" s="1096"/>
      <c r="K38" s="1096"/>
      <c r="L38" s="1096"/>
      <c r="M38" s="1096"/>
      <c r="N38" s="1182"/>
      <c r="O38" s="1183">
        <f>IFERROR(IF($AC38=TRUE,$X38*Y38,0),'Hidden Lists and Summaries'!$C$158)</f>
        <v>0</v>
      </c>
      <c r="P38" s="1184">
        <f>IFERROR(IF($AC38=TRUE,$X38*Z38,0),'Hidden Lists and Summaries'!$C$158)</f>
        <v>0</v>
      </c>
      <c r="Q38" s="1099"/>
      <c r="T38" s="786" cm="1">
        <f t="array" ref="T38">_xlfn.IFS(($E8='Hidden Lists and Summaries'!$B$78)*($E18='Hidden Lists and Summaries'!$B$83),G18,$E8='Hidden Lists and Summaries'!$B$79,$G28,TRUE,$I38)</f>
        <v>0</v>
      </c>
      <c r="U38" s="790" cm="1">
        <f t="array" ref="U38">_xlfn.IFS(($E8='Hidden Lists and Summaries'!$B$79)*($E28='Hidden Lists and Summaries'!$B$86),$F28,TRUE,$G38)</f>
        <v>0</v>
      </c>
      <c r="V38" s="790">
        <f>F38</f>
        <v>0</v>
      </c>
      <c r="W38" s="1382">
        <f>H38</f>
        <v>0</v>
      </c>
      <c r="X38" s="790" t="e" cm="1">
        <f t="array" ref="X38">_xlfn.IFS($E38='Hidden Lists and Summaries'!$B$143,($V38*$W38)/($T38*$U38),$E38='Hidden Lists and Summaries'!$B$142,$V38/$U38)</f>
        <v>#N/A</v>
      </c>
      <c r="Y38" s="790" t="e" cm="1">
        <f t="array" ref="Y38">_xlfn.IFS($E8='Hidden Lists and Summaries'!$B$78,$O18,$E8='Hidden Lists and Summaries'!$B$79,$O28)</f>
        <v>#N/A</v>
      </c>
      <c r="Z38" s="923" t="e" cm="1">
        <f t="array" ref="Z38">_xlfn.IFS($E8='Hidden Lists and Summaries'!$B$78,$P18,$E8='Hidden Lists and Summaries'!$B$79,$P28)</f>
        <v>#N/A</v>
      </c>
      <c r="AA38" s="786" t="b">
        <f>IF(($E8='Hidden Lists and Summaries'!$B$79)*($E28='Hidden Lists and Summaries'!$B$86) = 1,TRUE,FALSE)</f>
        <v>0</v>
      </c>
      <c r="AB38" s="790" t="b" cm="1">
        <f t="array" ref="AB38">_xlfn.IFS(($E8='Hidden Lists and Summaries'!$B$78)*($E18='Hidden Lists and Summaries'!$B$83),TRUE,$E8='Hidden Lists and Summaries'!$B$79,TRUE,TRUE,FALSE)</f>
        <v>0</v>
      </c>
      <c r="AC38" s="1383" t="b">
        <f>SUM($O18:$P18,$O28:$P28)&gt;0</f>
        <v>0</v>
      </c>
      <c r="AG38" s="227"/>
    </row>
    <row r="39" spans="1:33" ht="15.5" x14ac:dyDescent="0.25">
      <c r="B39" s="1095"/>
      <c r="C39" s="37" t="s">
        <v>657</v>
      </c>
      <c r="D39" s="37"/>
      <c r="E39" s="1412"/>
      <c r="F39" s="1427"/>
      <c r="G39" s="1433"/>
      <c r="H39" s="1434"/>
      <c r="I39" s="1435"/>
      <c r="J39" s="1096"/>
      <c r="K39" s="1096"/>
      <c r="L39" s="1096"/>
      <c r="M39" s="1096"/>
      <c r="N39" s="1130"/>
      <c r="O39" s="1131">
        <f>IFERROR(IF($AC39=TRUE,$X39*Y39,0),'Hidden Lists and Summaries'!$C$158)</f>
        <v>0</v>
      </c>
      <c r="P39" s="1132">
        <f>IFERROR(IF($AC39=TRUE,$X39*Z39,0),'Hidden Lists and Summaries'!$C$158)</f>
        <v>0</v>
      </c>
      <c r="Q39" s="1099"/>
      <c r="T39" s="263" cm="1">
        <f t="array" ref="T39">_xlfn.IFS(($E9='Hidden Lists and Summaries'!$B$78)*($E19='Hidden Lists and Summaries'!$B$83),G19,$E9='Hidden Lists and Summaries'!$B$79,$G29,TRUE,$I39)</f>
        <v>0</v>
      </c>
      <c r="U39" cm="1">
        <f t="array" ref="U39">_xlfn.IFS(($E9='Hidden Lists and Summaries'!$B$79)*($E29='Hidden Lists and Summaries'!$B$86),$F29,TRUE,$G39)</f>
        <v>0</v>
      </c>
      <c r="V39">
        <f>F39</f>
        <v>0</v>
      </c>
      <c r="W39" s="227">
        <f>H39</f>
        <v>0</v>
      </c>
      <c r="X39" t="e" cm="1">
        <f t="array" ref="X39">_xlfn.IFS($E39='Hidden Lists and Summaries'!$B$143,($V39*$W39)/($T39*$U39),$E39='Hidden Lists and Summaries'!$B$142,$V39/$U39)</f>
        <v>#N/A</v>
      </c>
      <c r="Y39" t="e" cm="1">
        <f t="array" ref="Y39">_xlfn.IFS($E9='Hidden Lists and Summaries'!$B$78,$O19,$E9='Hidden Lists and Summaries'!$B$79,$O29)</f>
        <v>#N/A</v>
      </c>
      <c r="Z39" s="261" t="e" cm="1">
        <f t="array" ref="Z39">_xlfn.IFS($E9='Hidden Lists and Summaries'!$B$78,$P19,$E9='Hidden Lists and Summaries'!$B$79,$P29)</f>
        <v>#N/A</v>
      </c>
      <c r="AA39" s="263" t="b">
        <f>IF(($E9='Hidden Lists and Summaries'!$B$79)*($E29='Hidden Lists and Summaries'!$B$86) = 1,TRUE,FALSE)</f>
        <v>0</v>
      </c>
      <c r="AB39" t="b" cm="1">
        <f t="array" ref="AB39">_xlfn.IFS(($E9='Hidden Lists and Summaries'!$B$78)*($E19='Hidden Lists and Summaries'!$B$83),TRUE,$E9='Hidden Lists and Summaries'!$B$79,TRUE,TRUE,FALSE)</f>
        <v>0</v>
      </c>
      <c r="AC39" s="1386" t="b">
        <f>SUM($O19:$P19,$O29:$P29)&gt;0</f>
        <v>0</v>
      </c>
    </row>
    <row r="40" spans="1:33" ht="15.5" x14ac:dyDescent="0.25">
      <c r="B40" s="1095"/>
      <c r="C40" s="37" t="s">
        <v>658</v>
      </c>
      <c r="D40" s="37"/>
      <c r="E40" s="1412"/>
      <c r="F40" s="1428"/>
      <c r="G40" s="1433"/>
      <c r="H40" s="1436"/>
      <c r="I40" s="1437"/>
      <c r="J40" s="1096"/>
      <c r="K40" s="1096"/>
      <c r="L40" s="1096"/>
      <c r="M40" s="1096"/>
      <c r="N40" s="1130"/>
      <c r="O40" s="1131">
        <f>IFERROR(IF($AC40=TRUE,$X40*Y40,0),'Hidden Lists and Summaries'!$C$158)</f>
        <v>0</v>
      </c>
      <c r="P40" s="1132">
        <f>IFERROR(IF($AC40=TRUE,$X40*Z40,0),'Hidden Lists and Summaries'!$C$158)</f>
        <v>0</v>
      </c>
      <c r="Q40" s="1099"/>
      <c r="T40" s="263" cm="1">
        <f t="array" ref="T40">_xlfn.IFS(($E10='Hidden Lists and Summaries'!$B$78)*($E20='Hidden Lists and Summaries'!$B$83),G20,$E10='Hidden Lists and Summaries'!$B$79,$G30,TRUE,$I40)</f>
        <v>0</v>
      </c>
      <c r="U40" cm="1">
        <f t="array" ref="U40">_xlfn.IFS(($E10='Hidden Lists and Summaries'!$B$79)*($E30='Hidden Lists and Summaries'!$B$86),$F30,TRUE,$G40)</f>
        <v>0</v>
      </c>
      <c r="V40">
        <f>F40</f>
        <v>0</v>
      </c>
      <c r="W40" s="227">
        <f>H40</f>
        <v>0</v>
      </c>
      <c r="X40" t="e" cm="1">
        <f t="array" ref="X40">_xlfn.IFS($E40='Hidden Lists and Summaries'!$B$143,($V40*$W40)/($T40*$U40),$E40='Hidden Lists and Summaries'!$B$142,$V40/$U40)</f>
        <v>#N/A</v>
      </c>
      <c r="Y40" t="e" cm="1">
        <f t="array" ref="Y40">_xlfn.IFS($E10='Hidden Lists and Summaries'!$B$78,$O20,$E10='Hidden Lists and Summaries'!$B$79,$O30)</f>
        <v>#N/A</v>
      </c>
      <c r="Z40" s="261" t="e" cm="1">
        <f t="array" ref="Z40">_xlfn.IFS($E10='Hidden Lists and Summaries'!$B$78,$P20,$E10='Hidden Lists and Summaries'!$B$79,$P30)</f>
        <v>#N/A</v>
      </c>
      <c r="AA40" s="263" t="b">
        <f>IF(($E10='Hidden Lists and Summaries'!$B$79)*($E30='Hidden Lists and Summaries'!$B$86) = 1,TRUE,FALSE)</f>
        <v>0</v>
      </c>
      <c r="AB40" t="b" cm="1">
        <f t="array" ref="AB40">_xlfn.IFS(($E10='Hidden Lists and Summaries'!$B$78)*($E20='Hidden Lists and Summaries'!$B$83),TRUE,$E10='Hidden Lists and Summaries'!$B$79,TRUE,TRUE,FALSE)</f>
        <v>0</v>
      </c>
      <c r="AC40" s="1386" t="b">
        <f>SUM($O20:$P20,$O30:$P30)&gt;0</f>
        <v>0</v>
      </c>
    </row>
    <row r="41" spans="1:33" ht="15.5" x14ac:dyDescent="0.25">
      <c r="B41" s="1095"/>
      <c r="C41" s="37" t="s">
        <v>659</v>
      </c>
      <c r="D41" s="37"/>
      <c r="E41" s="1419"/>
      <c r="F41" s="1429"/>
      <c r="G41" s="1438"/>
      <c r="H41" s="1439"/>
      <c r="I41" s="1440"/>
      <c r="J41" s="1096"/>
      <c r="K41" s="1096"/>
      <c r="L41" s="1096"/>
      <c r="M41" s="1096"/>
      <c r="N41" s="1130"/>
      <c r="O41" s="1131">
        <f>IFERROR(IF($AC41=TRUE,$X41*Y41,0),'Hidden Lists and Summaries'!$C$158)</f>
        <v>0</v>
      </c>
      <c r="P41" s="1132">
        <f>IFERROR(IF($AC41=TRUE,$X41*Z41,0),'Hidden Lists and Summaries'!$C$158)</f>
        <v>0</v>
      </c>
      <c r="Q41" s="1099"/>
      <c r="T41" s="321" cm="1">
        <f t="array" ref="T41">_xlfn.IFS(($E11='Hidden Lists and Summaries'!$B$78)*($E21='Hidden Lists and Summaries'!$B$83),G21,$E11='Hidden Lists and Summaries'!$B$79,$G31,TRUE,$I41)</f>
        <v>0</v>
      </c>
      <c r="U41" s="322" cm="1">
        <f t="array" ref="U41">_xlfn.IFS(($E11='Hidden Lists and Summaries'!$B$79)*($E31='Hidden Lists and Summaries'!$B$86),$F31,TRUE,$G41)</f>
        <v>0</v>
      </c>
      <c r="V41" s="322">
        <f>F41</f>
        <v>0</v>
      </c>
      <c r="W41" s="1388">
        <f>H41</f>
        <v>0</v>
      </c>
      <c r="X41" s="322" t="e" cm="1">
        <f t="array" ref="X41">_xlfn.IFS($E41='Hidden Lists and Summaries'!$B$143,($V41*$W41)/($T41*$U41),$E41='Hidden Lists and Summaries'!$B$142,$V41/$U41)</f>
        <v>#N/A</v>
      </c>
      <c r="Y41" s="322" t="e" cm="1">
        <f t="array" ref="Y41">_xlfn.IFS($E11='Hidden Lists and Summaries'!$B$78,$O21,$E11='Hidden Lists and Summaries'!$B$79,$O31)</f>
        <v>#N/A</v>
      </c>
      <c r="Z41" s="924" t="e" cm="1">
        <f t="array" ref="Z41">_xlfn.IFS($E11='Hidden Lists and Summaries'!$B$78,$P21,$E11='Hidden Lists and Summaries'!$B$79,$P31)</f>
        <v>#N/A</v>
      </c>
      <c r="AA41" s="321" t="b">
        <f>IF(($E11='Hidden Lists and Summaries'!$B$79)*($E31='Hidden Lists and Summaries'!$B$86) = 1,TRUE,FALSE)</f>
        <v>0</v>
      </c>
      <c r="AB41" s="322" t="b" cm="1">
        <f t="array" ref="AB41">_xlfn.IFS(($E11='Hidden Lists and Summaries'!$B$78)*($E21='Hidden Lists and Summaries'!$B$83),TRUE,$E11='Hidden Lists and Summaries'!$B$79,TRUE,TRUE,FALSE)</f>
        <v>0</v>
      </c>
      <c r="AC41" s="1389" t="b">
        <f>SUM($O21:$P21,$O31:$P31)&gt;0</f>
        <v>0</v>
      </c>
    </row>
    <row r="42" spans="1:33" ht="13" x14ac:dyDescent="0.25">
      <c r="B42" s="39"/>
      <c r="C42" s="1375"/>
      <c r="D42" s="1375"/>
      <c r="E42" s="1375"/>
      <c r="F42" s="1375"/>
      <c r="G42" s="1375"/>
      <c r="H42" s="1375"/>
      <c r="I42" s="1375"/>
      <c r="J42" s="1375"/>
      <c r="K42" s="1375"/>
      <c r="L42" s="1375"/>
      <c r="M42" s="1375"/>
      <c r="N42" s="1224" t="s">
        <v>120</v>
      </c>
      <c r="O42" s="1396">
        <f>SUM(O38:O41)</f>
        <v>0</v>
      </c>
      <c r="P42" s="1287">
        <f>SUM(P38:P41)</f>
        <v>0</v>
      </c>
      <c r="Q42" s="40"/>
      <c r="T42" s="263"/>
      <c r="AC42" s="261"/>
    </row>
    <row r="43" spans="1:33" ht="12.5" x14ac:dyDescent="0.25">
      <c r="T43" s="263"/>
      <c r="AC43" s="261"/>
    </row>
    <row r="44" spans="1:33" ht="12.5" x14ac:dyDescent="0.25">
      <c r="B44" s="1081"/>
      <c r="C44" s="1082"/>
      <c r="D44" s="1082"/>
      <c r="E44" s="1082"/>
      <c r="F44" s="1082"/>
      <c r="G44" s="1082"/>
      <c r="H44" s="1082"/>
      <c r="I44" s="1082"/>
      <c r="J44" s="1082"/>
      <c r="K44" s="1082"/>
      <c r="L44" s="1082"/>
      <c r="M44" s="1082"/>
      <c r="N44" s="1082"/>
      <c r="O44" s="1082"/>
      <c r="P44" s="1082"/>
      <c r="Q44" s="1083"/>
      <c r="T44" s="263"/>
      <c r="V44" s="227"/>
      <c r="AC44" s="261"/>
    </row>
    <row r="45" spans="1:33" ht="15.5" x14ac:dyDescent="0.25">
      <c r="B45" s="1084"/>
      <c r="C45" s="1109" t="s">
        <v>873</v>
      </c>
      <c r="D45" s="1086"/>
      <c r="E45" s="1086"/>
      <c r="F45" s="1086"/>
      <c r="G45" s="1086"/>
      <c r="H45" s="1086"/>
      <c r="I45" s="1086"/>
      <c r="J45" s="1086"/>
      <c r="K45" s="1086"/>
      <c r="L45" s="1086"/>
      <c r="M45" s="1086"/>
      <c r="N45" s="1086"/>
      <c r="O45" s="1086"/>
      <c r="P45" s="1086"/>
      <c r="Q45" s="1087"/>
      <c r="T45" s="263"/>
      <c r="AC45" s="261"/>
    </row>
    <row r="46" spans="1:33" ht="15.5" x14ac:dyDescent="0.25">
      <c r="B46" s="1089"/>
      <c r="C46" s="1090"/>
      <c r="D46" s="1090"/>
      <c r="E46" s="1091" t="s">
        <v>695</v>
      </c>
      <c r="F46" s="1091" t="s">
        <v>874</v>
      </c>
      <c r="G46" s="1111" t="s">
        <v>875</v>
      </c>
      <c r="H46" s="1111" t="s">
        <v>943</v>
      </c>
      <c r="I46" s="1092"/>
      <c r="J46" s="1092"/>
      <c r="K46" s="1092"/>
      <c r="L46" s="1090"/>
      <c r="M46" s="1090"/>
      <c r="N46" s="1090"/>
      <c r="O46" s="1377" t="s">
        <v>665</v>
      </c>
      <c r="P46" s="1377" t="s">
        <v>257</v>
      </c>
      <c r="Q46" s="1094"/>
      <c r="T46" s="263"/>
      <c r="AC46" s="261"/>
    </row>
    <row r="47" spans="1:33" ht="15.5" x14ac:dyDescent="0.3">
      <c r="B47" s="1095"/>
      <c r="C47" s="264"/>
      <c r="D47" s="37"/>
      <c r="E47" s="1096"/>
      <c r="F47" s="1096"/>
      <c r="G47" s="1098"/>
      <c r="H47" s="1098"/>
      <c r="I47" s="1098"/>
      <c r="J47" s="1098"/>
      <c r="K47" s="1098"/>
      <c r="L47" s="1096"/>
      <c r="M47" s="1096"/>
      <c r="N47" s="1096"/>
      <c r="O47" s="1096"/>
      <c r="P47" s="1096"/>
      <c r="Q47" s="1099"/>
      <c r="T47" s="1299" t="s">
        <v>663</v>
      </c>
      <c r="U47" s="1299" t="s">
        <v>678</v>
      </c>
      <c r="V47" s="1299" t="s">
        <v>875</v>
      </c>
      <c r="W47" s="1299" t="s">
        <v>876</v>
      </c>
      <c r="AC47" s="261"/>
    </row>
    <row r="48" spans="1:33" ht="15.5" x14ac:dyDescent="0.25">
      <c r="B48" s="1095"/>
      <c r="C48" s="37" t="s">
        <v>697</v>
      </c>
      <c r="D48" s="37"/>
      <c r="E48" s="1441"/>
      <c r="F48" s="1426"/>
      <c r="G48" s="362"/>
      <c r="H48" s="1423"/>
      <c r="I48" s="1098"/>
      <c r="J48" s="1098"/>
      <c r="K48" s="1098"/>
      <c r="L48" s="1096"/>
      <c r="M48" s="1096"/>
      <c r="N48" s="1182"/>
      <c r="O48" s="1183">
        <f>T48*V48</f>
        <v>0</v>
      </c>
      <c r="P48" s="1184">
        <f>$T48*$W48</f>
        <v>0</v>
      </c>
      <c r="Q48" s="1099"/>
      <c r="T48" s="1381">
        <f t="shared" ref="T48:W49" si="4">E48</f>
        <v>0</v>
      </c>
      <c r="U48" s="790">
        <f t="shared" si="4"/>
        <v>0</v>
      </c>
      <c r="V48" s="1382">
        <f t="shared" si="4"/>
        <v>0</v>
      </c>
      <c r="W48" s="1383">
        <f t="shared" si="4"/>
        <v>0</v>
      </c>
      <c r="AC48" s="261"/>
    </row>
    <row r="49" spans="1:29" ht="15.5" x14ac:dyDescent="0.25">
      <c r="B49" s="1095"/>
      <c r="C49" s="37" t="s">
        <v>698</v>
      </c>
      <c r="D49" s="37"/>
      <c r="E49" s="1442"/>
      <c r="F49" s="1443"/>
      <c r="G49" s="408"/>
      <c r="H49" s="1444"/>
      <c r="I49" s="1098"/>
      <c r="J49" s="1098"/>
      <c r="K49" s="1098"/>
      <c r="L49" s="1096"/>
      <c r="M49" s="1096"/>
      <c r="N49" s="1130"/>
      <c r="O49" s="1131">
        <f>T49*V49</f>
        <v>0</v>
      </c>
      <c r="P49" s="1132">
        <f>$T49*$W49</f>
        <v>0</v>
      </c>
      <c r="Q49" s="1099"/>
      <c r="T49" s="1387">
        <f t="shared" si="4"/>
        <v>0</v>
      </c>
      <c r="U49" s="322">
        <f t="shared" si="4"/>
        <v>0</v>
      </c>
      <c r="V49" s="1388">
        <f t="shared" si="4"/>
        <v>0</v>
      </c>
      <c r="W49" s="1389">
        <f t="shared" si="4"/>
        <v>0</v>
      </c>
      <c r="AC49" s="261"/>
    </row>
    <row r="50" spans="1:29" ht="13" x14ac:dyDescent="0.25">
      <c r="B50" s="1105"/>
      <c r="C50" s="1106"/>
      <c r="D50" s="1106"/>
      <c r="E50" s="1320"/>
      <c r="F50" s="1320"/>
      <c r="G50" s="1320"/>
      <c r="H50" s="1320"/>
      <c r="I50" s="1106"/>
      <c r="J50" s="1106"/>
      <c r="K50" s="1106"/>
      <c r="L50" s="1106"/>
      <c r="M50" s="1106"/>
      <c r="N50" s="1224" t="s">
        <v>120</v>
      </c>
      <c r="O50" s="1396">
        <f>SUM(O48:O49)</f>
        <v>0</v>
      </c>
      <c r="P50" s="1287">
        <f>SUM(P48:P49)</f>
        <v>0</v>
      </c>
      <c r="Q50" s="1107"/>
      <c r="T50" s="263"/>
      <c r="AC50" s="261"/>
    </row>
    <row r="51" spans="1:29" ht="12.5" x14ac:dyDescent="0.25">
      <c r="T51" s="263"/>
      <c r="AC51" s="261"/>
    </row>
    <row r="52" spans="1:29" ht="12.5" x14ac:dyDescent="0.25">
      <c r="B52" s="1081"/>
      <c r="C52" s="1082"/>
      <c r="D52" s="1082"/>
      <c r="E52" s="1082"/>
      <c r="F52" s="1082"/>
      <c r="G52" s="1082"/>
      <c r="H52" s="1082"/>
      <c r="I52" s="1082"/>
      <c r="J52" s="1082"/>
      <c r="K52" s="1082"/>
      <c r="L52" s="1082"/>
      <c r="M52" s="1082"/>
      <c r="N52" s="1082"/>
      <c r="O52" s="1082"/>
      <c r="P52" s="1082"/>
      <c r="Q52" s="1083"/>
      <c r="T52" s="263"/>
      <c r="AC52" s="261"/>
    </row>
    <row r="53" spans="1:29" ht="15.5" x14ac:dyDescent="0.25">
      <c r="B53" s="1084"/>
      <c r="C53" s="1109" t="s">
        <v>699</v>
      </c>
      <c r="D53" s="1086"/>
      <c r="E53" s="1086"/>
      <c r="F53" s="1086"/>
      <c r="G53" s="1086"/>
      <c r="H53" s="1086"/>
      <c r="I53" s="1086"/>
      <c r="J53" s="1086"/>
      <c r="K53" s="1086"/>
      <c r="L53" s="1086"/>
      <c r="M53" s="1086"/>
      <c r="N53" s="1086"/>
      <c r="O53" s="1086"/>
      <c r="P53" s="1086"/>
      <c r="Q53" s="1087"/>
      <c r="T53" s="263"/>
      <c r="AC53" s="261"/>
    </row>
    <row r="54" spans="1:29" ht="15.5" x14ac:dyDescent="0.25">
      <c r="B54" s="1089"/>
      <c r="C54" s="1090"/>
      <c r="D54" s="1090"/>
      <c r="E54" s="1091" t="s">
        <v>682</v>
      </c>
      <c r="F54" s="1091" t="s">
        <v>701</v>
      </c>
      <c r="G54" s="1091" t="s">
        <v>700</v>
      </c>
      <c r="H54" s="1091" t="s">
        <v>695</v>
      </c>
      <c r="I54" s="1090"/>
      <c r="J54" s="1090"/>
      <c r="K54" s="1090"/>
      <c r="L54" s="1090"/>
      <c r="M54" s="1090"/>
      <c r="N54" s="1090"/>
      <c r="O54" s="1377" t="s">
        <v>665</v>
      </c>
      <c r="P54" s="1377" t="s">
        <v>257</v>
      </c>
      <c r="Q54" s="1094"/>
      <c r="T54" s="263"/>
      <c r="AC54" s="261"/>
    </row>
    <row r="55" spans="1:29" ht="15.5" x14ac:dyDescent="0.3">
      <c r="B55" s="1095"/>
      <c r="C55" s="264"/>
      <c r="D55" s="37"/>
      <c r="E55" s="37"/>
      <c r="F55" s="37"/>
      <c r="G55" s="37"/>
      <c r="H55" s="37"/>
      <c r="I55" s="1096"/>
      <c r="J55" s="1096"/>
      <c r="K55" s="1096"/>
      <c r="L55" s="1096"/>
      <c r="M55" s="1193"/>
      <c r="N55" s="1101"/>
      <c r="O55" s="1097"/>
      <c r="P55" s="1193"/>
      <c r="Q55" s="1099"/>
      <c r="T55" s="1299" t="s">
        <v>663</v>
      </c>
      <c r="U55" s="1299" t="s">
        <v>685</v>
      </c>
      <c r="V55" s="1299" t="s">
        <v>686</v>
      </c>
      <c r="W55" s="1299" t="s">
        <v>687</v>
      </c>
      <c r="X55" s="1299" t="s">
        <v>688</v>
      </c>
      <c r="Y55" s="1299" t="s">
        <v>689</v>
      </c>
      <c r="Z55" s="1299" t="s">
        <v>690</v>
      </c>
      <c r="AA55" s="1299" t="s">
        <v>702</v>
      </c>
      <c r="AC55" s="261"/>
    </row>
    <row r="56" spans="1:29" ht="12.5" x14ac:dyDescent="0.25">
      <c r="B56" s="1095"/>
      <c r="C56" s="37" t="s">
        <v>697</v>
      </c>
      <c r="D56" s="37"/>
      <c r="E56" s="1409"/>
      <c r="F56" s="1426"/>
      <c r="G56" s="1426"/>
      <c r="H56" s="1432"/>
      <c r="I56" s="1096"/>
      <c r="J56" s="1096"/>
      <c r="K56" s="1096"/>
      <c r="L56" s="1096"/>
      <c r="M56" s="1096"/>
      <c r="N56" s="1182"/>
      <c r="O56" s="1131">
        <f>IFERROR(IF($AA56=TRUE,$X56*Y56,0),'Hidden Lists and Summaries'!$C$158)</f>
        <v>0</v>
      </c>
      <c r="P56" s="1184">
        <f>IFERROR(IF($AA56=TRUE,$X56*Z56,0),'Hidden Lists and Summaries'!$C$158)</f>
        <v>0</v>
      </c>
      <c r="Q56" s="1099"/>
      <c r="T56" s="1381">
        <f>E48</f>
        <v>0</v>
      </c>
      <c r="U56" s="1382">
        <f>U48</f>
        <v>0</v>
      </c>
      <c r="V56" s="790">
        <f>F56</f>
        <v>0</v>
      </c>
      <c r="W56" s="1382">
        <f>G56</f>
        <v>0</v>
      </c>
      <c r="X56" s="790" t="e" cm="1">
        <f t="array" ref="X56">_xlfn.IFS($E56='Hidden Lists and Summaries'!$B$143,($V56*$W56)/($T56*$U56),$E56='Hidden Lists and Summaries'!$B$142,$V56/$U56)</f>
        <v>#N/A</v>
      </c>
      <c r="Y56" s="1382">
        <f>O48</f>
        <v>0</v>
      </c>
      <c r="Z56" s="1383">
        <f>P48</f>
        <v>0</v>
      </c>
      <c r="AA56" s="783" t="b">
        <f>SUM($O48:$P48)&gt;0</f>
        <v>0</v>
      </c>
      <c r="AC56" s="261"/>
    </row>
    <row r="57" spans="1:29" ht="12.5" x14ac:dyDescent="0.25">
      <c r="B57" s="1095"/>
      <c r="C57" s="37" t="s">
        <v>698</v>
      </c>
      <c r="D57" s="37"/>
      <c r="E57" s="1445"/>
      <c r="F57" s="1443"/>
      <c r="G57" s="1443"/>
      <c r="H57" s="1446"/>
      <c r="I57" s="1096"/>
      <c r="J57" s="1096"/>
      <c r="K57" s="1096"/>
      <c r="L57" s="1096"/>
      <c r="M57" s="1096"/>
      <c r="N57" s="1130"/>
      <c r="O57" s="1131">
        <f>IFERROR(IF($AA57=TRUE,$X57*Y57,0),'Hidden Lists and Summaries'!$C$158)</f>
        <v>0</v>
      </c>
      <c r="P57" s="1132">
        <f>IFERROR(IF($AA57=TRUE,$X57*Z57,0),'Hidden Lists and Summaries'!$C$158)</f>
        <v>0</v>
      </c>
      <c r="Q57" s="1099"/>
      <c r="T57" s="1387">
        <f>E49</f>
        <v>0</v>
      </c>
      <c r="U57" s="1388">
        <f>U49</f>
        <v>0</v>
      </c>
      <c r="V57" s="322">
        <f>F57</f>
        <v>0</v>
      </c>
      <c r="W57" s="1388">
        <f>G57</f>
        <v>0</v>
      </c>
      <c r="X57" s="322" t="e" cm="1">
        <f t="array" ref="X57">_xlfn.IFS($E57='Hidden Lists and Summaries'!$B$143,($V57*$W57)/($T57*$U57),$E57='Hidden Lists and Summaries'!$B$142,$V57/$U57)</f>
        <v>#N/A</v>
      </c>
      <c r="Y57" s="1388">
        <f>O49</f>
        <v>0</v>
      </c>
      <c r="Z57" s="1389">
        <f>P49</f>
        <v>0</v>
      </c>
      <c r="AA57" s="785" t="b">
        <f>SUM($O49:$P49)&gt;0</f>
        <v>0</v>
      </c>
      <c r="AC57" s="261"/>
    </row>
    <row r="58" spans="1:29" ht="13" x14ac:dyDescent="0.3">
      <c r="B58" s="1105"/>
      <c r="C58" s="1106"/>
      <c r="D58" s="1106"/>
      <c r="E58" s="1106"/>
      <c r="F58" s="1106"/>
      <c r="G58" s="1106"/>
      <c r="H58" s="1106"/>
      <c r="I58" s="1106"/>
      <c r="J58" s="1106"/>
      <c r="K58" s="1106"/>
      <c r="L58" s="1106"/>
      <c r="M58" s="1106"/>
      <c r="N58" s="1397" t="s">
        <v>120</v>
      </c>
      <c r="O58" s="1398">
        <f>SUM(O56:O57)</f>
        <v>0</v>
      </c>
      <c r="P58" s="1399">
        <f>SUM(P56:P57)</f>
        <v>0</v>
      </c>
      <c r="Q58" s="1107"/>
      <c r="T58" s="263"/>
      <c r="AC58" s="261"/>
    </row>
    <row r="59" spans="1:29" ht="12.75" customHeight="1" x14ac:dyDescent="0.25">
      <c r="T59" s="263"/>
      <c r="AC59" s="261"/>
    </row>
    <row r="60" spans="1:29" ht="12.75" customHeight="1" x14ac:dyDescent="0.25">
      <c r="B60" s="1081"/>
      <c r="C60" s="1082"/>
      <c r="D60" s="1082"/>
      <c r="E60" s="1082"/>
      <c r="F60" s="1082"/>
      <c r="G60" s="1082"/>
      <c r="H60" s="1082"/>
      <c r="I60" s="1082"/>
      <c r="J60" s="1082"/>
      <c r="K60" s="1082"/>
      <c r="L60" s="1082"/>
      <c r="M60" s="1082"/>
      <c r="N60" s="1082"/>
      <c r="O60" s="1082"/>
      <c r="P60" s="1082"/>
      <c r="Q60" s="1083"/>
      <c r="T60" s="263"/>
      <c r="AC60" s="261"/>
    </row>
    <row r="61" spans="1:29" ht="12.75" customHeight="1" x14ac:dyDescent="0.25">
      <c r="B61" s="1084"/>
      <c r="C61" s="1109" t="s">
        <v>703</v>
      </c>
      <c r="D61" s="1086"/>
      <c r="E61" s="1086"/>
      <c r="F61" s="1086"/>
      <c r="G61" s="1086"/>
      <c r="H61" s="1086"/>
      <c r="I61" s="1086"/>
      <c r="J61" s="1086"/>
      <c r="K61" s="1086"/>
      <c r="L61" s="1086"/>
      <c r="M61" s="1086"/>
      <c r="N61" s="1086"/>
      <c r="O61" s="1086"/>
      <c r="P61" s="1086"/>
      <c r="Q61" s="1087"/>
      <c r="T61" s="263"/>
      <c r="AC61" s="261"/>
    </row>
    <row r="62" spans="1:29" ht="12.75" customHeight="1" x14ac:dyDescent="0.25">
      <c r="B62" s="1089"/>
      <c r="C62" s="1090"/>
      <c r="D62" s="1090"/>
      <c r="E62" s="1091" t="s">
        <v>704</v>
      </c>
      <c r="F62" s="1091" t="s">
        <v>705</v>
      </c>
      <c r="G62" s="1111" t="s">
        <v>706</v>
      </c>
      <c r="H62" s="1091" t="s">
        <v>707</v>
      </c>
      <c r="I62" s="1090"/>
      <c r="J62" s="1090"/>
      <c r="K62" s="1090"/>
      <c r="L62" s="1090"/>
      <c r="M62" s="1090"/>
      <c r="N62" s="1090"/>
      <c r="O62" s="1377"/>
      <c r="P62" s="1377"/>
      <c r="Q62" s="1094"/>
      <c r="T62" s="263"/>
      <c r="AC62" s="261"/>
    </row>
    <row r="63" spans="1:29" ht="12.75" customHeight="1" x14ac:dyDescent="0.25">
      <c r="A63" s="261"/>
      <c r="B63" s="1096"/>
      <c r="C63" s="1096"/>
      <c r="D63" s="1096"/>
      <c r="E63" s="1096"/>
      <c r="F63" s="1096"/>
      <c r="G63" s="1096"/>
      <c r="H63" s="1096"/>
      <c r="I63" s="1096"/>
      <c r="J63" s="1096"/>
      <c r="K63" s="1096"/>
      <c r="L63" s="1096"/>
      <c r="M63" s="1096"/>
      <c r="N63" s="1096"/>
      <c r="O63" s="1096"/>
      <c r="P63" s="1096"/>
      <c r="Q63" s="1195"/>
      <c r="T63" s="1299" t="s">
        <v>708</v>
      </c>
      <c r="U63" s="1299" t="s">
        <v>709</v>
      </c>
      <c r="V63" s="1299" t="s">
        <v>663</v>
      </c>
      <c r="W63" s="1299" t="s">
        <v>706</v>
      </c>
      <c r="X63" s="1299" t="s">
        <v>711</v>
      </c>
      <c r="AC63" s="261"/>
    </row>
    <row r="64" spans="1:29" ht="12.75" customHeight="1" x14ac:dyDescent="0.25">
      <c r="A64" s="261"/>
      <c r="B64" s="37"/>
      <c r="C64" s="37" t="s">
        <v>653</v>
      </c>
      <c r="D64" s="37"/>
      <c r="E64" s="1409"/>
      <c r="F64" s="1431"/>
      <c r="G64" s="1431"/>
      <c r="H64" s="1447"/>
      <c r="I64" s="37"/>
      <c r="J64" s="37"/>
      <c r="K64" s="37"/>
      <c r="L64" s="37"/>
      <c r="M64" s="37"/>
      <c r="N64" s="37"/>
      <c r="O64" s="37"/>
      <c r="P64" s="37"/>
      <c r="Q64" s="38"/>
      <c r="T64" s="786">
        <f>$U38-$V38</f>
        <v>0</v>
      </c>
      <c r="U64" s="790" t="e" cm="1">
        <f t="array" ref="U64">_xlfn.IFS($E64='Hidden Lists and Summaries'!$B$146,$F64)</f>
        <v>#N/A</v>
      </c>
      <c r="V64" s="790">
        <f>$H64</f>
        <v>0</v>
      </c>
      <c r="W64" s="790">
        <f>$G64</f>
        <v>0</v>
      </c>
      <c r="X64" s="923" cm="1">
        <f t="array" ref="X64">_xlfn.IFS($E64='Hidden Lists and Summaries'!$B$146,$T64-$U64,$E64='Hidden Lists and Summaries'!$B$147,$V64*$W64,TRUE,0)</f>
        <v>0</v>
      </c>
      <c r="AC64" s="261"/>
    </row>
    <row r="65" spans="1:41" ht="12.75" customHeight="1" x14ac:dyDescent="0.25">
      <c r="A65" s="261"/>
      <c r="B65" s="37"/>
      <c r="C65" s="37" t="s">
        <v>657</v>
      </c>
      <c r="D65" s="37"/>
      <c r="E65" s="1417"/>
      <c r="F65" s="1436"/>
      <c r="G65" s="1436"/>
      <c r="H65" s="1448"/>
      <c r="I65" s="37"/>
      <c r="J65" s="37"/>
      <c r="K65" s="37"/>
      <c r="L65" s="37"/>
      <c r="M65" s="37"/>
      <c r="N65" s="37"/>
      <c r="O65" s="37"/>
      <c r="P65" s="37"/>
      <c r="Q65" s="38"/>
      <c r="T65" s="263">
        <f>$U39-$V39</f>
        <v>0</v>
      </c>
      <c r="U65" t="e" cm="1">
        <f t="array" ref="U65">_xlfn.IFS($E65='Hidden Lists and Summaries'!$B$146,$F65)</f>
        <v>#N/A</v>
      </c>
      <c r="V65">
        <f t="shared" ref="V65:V67" si="5">$H65</f>
        <v>0</v>
      </c>
      <c r="W65">
        <f t="shared" ref="W65:W67" si="6">$G65</f>
        <v>0</v>
      </c>
      <c r="X65" s="261" cm="1">
        <f t="array" ref="X65">_xlfn.IFS($E65='Hidden Lists and Summaries'!$B$146,$T65-$U65,$E65='Hidden Lists and Summaries'!$B$147,$V65*$W65,TRUE,0)</f>
        <v>0</v>
      </c>
      <c r="AC65" s="261"/>
    </row>
    <row r="66" spans="1:41" ht="12.75" customHeight="1" x14ac:dyDescent="0.25">
      <c r="A66" s="261"/>
      <c r="B66" s="37"/>
      <c r="C66" s="37" t="s">
        <v>658</v>
      </c>
      <c r="D66" s="37"/>
      <c r="E66" s="1417"/>
      <c r="F66" s="1427"/>
      <c r="G66" s="1427"/>
      <c r="H66" s="1435"/>
      <c r="I66" s="37"/>
      <c r="J66" s="37"/>
      <c r="K66" s="37"/>
      <c r="L66" s="37"/>
      <c r="M66" s="37"/>
      <c r="N66" s="37"/>
      <c r="O66" s="37"/>
      <c r="P66" s="37"/>
      <c r="Q66" s="38"/>
      <c r="T66" s="263">
        <f>$U40-$V40</f>
        <v>0</v>
      </c>
      <c r="U66" t="e" cm="1">
        <f t="array" ref="U66">_xlfn.IFS($E66='Hidden Lists and Summaries'!$B$146,$F66)</f>
        <v>#N/A</v>
      </c>
      <c r="V66">
        <f t="shared" si="5"/>
        <v>0</v>
      </c>
      <c r="W66">
        <f t="shared" si="6"/>
        <v>0</v>
      </c>
      <c r="X66" s="261" cm="1">
        <f t="array" ref="X66">_xlfn.IFS($E66='Hidden Lists and Summaries'!$B$146,$T66-$U66,$E66='Hidden Lists and Summaries'!$B$147,$V66*$W66,TRUE,0)</f>
        <v>0</v>
      </c>
      <c r="AC66" s="261"/>
    </row>
    <row r="67" spans="1:41" ht="12.75" customHeight="1" x14ac:dyDescent="0.25">
      <c r="A67" s="261"/>
      <c r="B67" s="37"/>
      <c r="C67" s="37" t="s">
        <v>659</v>
      </c>
      <c r="D67" s="37"/>
      <c r="E67" s="1419"/>
      <c r="F67" s="1429"/>
      <c r="G67" s="1439"/>
      <c r="H67" s="1446"/>
      <c r="I67" s="37"/>
      <c r="J67" s="37"/>
      <c r="K67" s="37"/>
      <c r="L67" s="37"/>
      <c r="M67" s="37"/>
      <c r="N67" s="37"/>
      <c r="O67" s="37"/>
      <c r="P67" s="37"/>
      <c r="Q67" s="38"/>
      <c r="T67" s="321">
        <f>$U41-$V41</f>
        <v>0</v>
      </c>
      <c r="U67" s="322" t="e" cm="1">
        <f t="array" ref="U67">_xlfn.IFS($E67='Hidden Lists and Summaries'!$B$146,$F67)</f>
        <v>#N/A</v>
      </c>
      <c r="V67" s="322">
        <f t="shared" si="5"/>
        <v>0</v>
      </c>
      <c r="W67" s="322">
        <f t="shared" si="6"/>
        <v>0</v>
      </c>
      <c r="X67" s="924" cm="1">
        <f t="array" ref="X67">_xlfn.IFS($E67='Hidden Lists and Summaries'!$B$146,$T67-$U67,$E67='Hidden Lists and Summaries'!$B$147,$V67*$W67,TRUE,0)</f>
        <v>0</v>
      </c>
      <c r="AC67" s="261"/>
    </row>
    <row r="68" spans="1:41" ht="12.75" customHeight="1" x14ac:dyDescent="0.25">
      <c r="A68" s="261"/>
      <c r="B68" s="1375"/>
      <c r="C68" s="1375"/>
      <c r="D68" s="1375"/>
      <c r="E68" s="1375"/>
      <c r="F68" s="1375"/>
      <c r="G68" s="1375"/>
      <c r="H68" s="1375"/>
      <c r="I68" s="1375"/>
      <c r="J68" s="1375"/>
      <c r="K68" s="1375"/>
      <c r="L68" s="1375"/>
      <c r="M68" s="1375"/>
      <c r="N68" s="1375"/>
      <c r="O68" s="1375"/>
      <c r="P68" s="1375"/>
      <c r="Q68" s="40"/>
      <c r="T68" s="263"/>
      <c r="AC68" s="261"/>
    </row>
    <row r="69" spans="1:41" ht="12.75" customHeight="1" x14ac:dyDescent="0.25">
      <c r="T69" s="263"/>
      <c r="AC69" s="261"/>
    </row>
    <row r="70" spans="1:41" ht="12.75" customHeight="1" x14ac:dyDescent="0.25">
      <c r="B70" s="1081"/>
      <c r="C70" s="1082"/>
      <c r="D70" s="1082"/>
      <c r="E70" s="1082"/>
      <c r="F70" s="1082"/>
      <c r="G70" s="1082"/>
      <c r="H70" s="1082"/>
      <c r="I70" s="1082"/>
      <c r="J70" s="1082"/>
      <c r="K70" s="1082"/>
      <c r="L70" s="1082"/>
      <c r="M70" s="1082"/>
      <c r="N70" s="1082"/>
      <c r="O70" s="1082"/>
      <c r="P70" s="1082"/>
      <c r="Q70" s="1083"/>
      <c r="T70" s="263"/>
      <c r="AC70" s="261"/>
    </row>
    <row r="71" spans="1:41" ht="12.75" customHeight="1" x14ac:dyDescent="0.25">
      <c r="B71" s="1084"/>
      <c r="C71" s="1109" t="s">
        <v>712</v>
      </c>
      <c r="D71" s="1086"/>
      <c r="E71" s="1086"/>
      <c r="F71" s="1086"/>
      <c r="G71" s="1086"/>
      <c r="H71" s="1086"/>
      <c r="I71" s="1086"/>
      <c r="J71" s="1086"/>
      <c r="K71" s="1086"/>
      <c r="L71" s="1086"/>
      <c r="M71" s="1086"/>
      <c r="N71" s="1086"/>
      <c r="O71" s="1086"/>
      <c r="P71" s="1086"/>
      <c r="Q71" s="1087"/>
      <c r="T71" s="263"/>
      <c r="AC71" s="261"/>
    </row>
    <row r="72" spans="1:41" ht="12.75" customHeight="1" x14ac:dyDescent="0.25">
      <c r="B72" s="1089"/>
      <c r="C72" s="1090"/>
      <c r="D72" s="1090"/>
      <c r="E72" s="1091" t="s">
        <v>704</v>
      </c>
      <c r="F72" s="1091" t="s">
        <v>705</v>
      </c>
      <c r="G72" s="1111" t="s">
        <v>706</v>
      </c>
      <c r="H72" s="1091" t="s">
        <v>707</v>
      </c>
      <c r="I72" s="1090"/>
      <c r="J72" s="1090"/>
      <c r="K72" s="1090"/>
      <c r="L72" s="1090"/>
      <c r="M72" s="1090"/>
      <c r="N72" s="1090"/>
      <c r="O72" s="1377"/>
      <c r="P72" s="1377"/>
      <c r="Q72" s="1094"/>
      <c r="T72" s="263"/>
      <c r="AC72" s="261"/>
    </row>
    <row r="73" spans="1:41" ht="12.75" customHeight="1" x14ac:dyDescent="0.25">
      <c r="A73" s="261"/>
      <c r="B73" s="1096"/>
      <c r="C73" s="1096"/>
      <c r="D73" s="1096"/>
      <c r="E73" s="1096"/>
      <c r="F73" s="1096"/>
      <c r="G73" s="1096"/>
      <c r="H73" s="1096"/>
      <c r="I73" s="1096"/>
      <c r="J73" s="1096"/>
      <c r="K73" s="1096"/>
      <c r="L73" s="1096"/>
      <c r="M73" s="1096"/>
      <c r="N73" s="1096"/>
      <c r="O73" s="1096"/>
      <c r="P73" s="1096"/>
      <c r="Q73" s="1195"/>
      <c r="T73" s="1299" t="s">
        <v>708</v>
      </c>
      <c r="U73" s="1299" t="s">
        <v>709</v>
      </c>
      <c r="V73" s="1299" t="s">
        <v>663</v>
      </c>
      <c r="W73" s="1299" t="s">
        <v>706</v>
      </c>
      <c r="X73" s="1299" t="s">
        <v>711</v>
      </c>
      <c r="AC73" s="261"/>
    </row>
    <row r="74" spans="1:41" ht="12.75" customHeight="1" x14ac:dyDescent="0.25">
      <c r="A74" s="261"/>
      <c r="B74" s="37"/>
      <c r="C74" s="37" t="s">
        <v>697</v>
      </c>
      <c r="D74" s="37"/>
      <c r="E74" s="1409"/>
      <c r="F74" s="1431"/>
      <c r="G74" s="1431"/>
      <c r="H74" s="1447"/>
      <c r="I74" s="37"/>
      <c r="J74" s="37"/>
      <c r="K74" s="37"/>
      <c r="L74" s="37"/>
      <c r="M74" s="37"/>
      <c r="N74" s="37"/>
      <c r="O74" s="37"/>
      <c r="P74" s="37"/>
      <c r="Q74" s="38"/>
      <c r="T74" s="786">
        <f>$U56-$V56</f>
        <v>0</v>
      </c>
      <c r="U74" s="790" t="e" cm="1">
        <f t="array" ref="U74">_xlfn.IFS($E74='Hidden Lists and Summaries'!$B$146,$F74)</f>
        <v>#N/A</v>
      </c>
      <c r="V74" s="790">
        <f>$H74</f>
        <v>0</v>
      </c>
      <c r="W74" s="790">
        <f>$G74</f>
        <v>0</v>
      </c>
      <c r="X74" s="923" cm="1">
        <f t="array" ref="X74">_xlfn.IFS($E74='Hidden Lists and Summaries'!$B$146,$T74-$U74,$E74='Hidden Lists and Summaries'!$B$147,$V74*$W74,TRUE,0)</f>
        <v>0</v>
      </c>
      <c r="AC74" s="261"/>
    </row>
    <row r="75" spans="1:41" ht="12.75" customHeight="1" x14ac:dyDescent="0.25">
      <c r="A75" s="261"/>
      <c r="B75" s="37"/>
      <c r="C75" s="37" t="s">
        <v>698</v>
      </c>
      <c r="D75" s="37"/>
      <c r="E75" s="1445"/>
      <c r="F75" s="1449"/>
      <c r="G75" s="1449"/>
      <c r="H75" s="1450"/>
      <c r="I75" s="37"/>
      <c r="J75" s="37"/>
      <c r="K75" s="37"/>
      <c r="L75" s="37"/>
      <c r="M75" s="37"/>
      <c r="N75" s="37"/>
      <c r="O75" s="37"/>
      <c r="P75" s="37"/>
      <c r="Q75" s="38"/>
      <c r="T75" s="321">
        <f>$U57-$V57</f>
        <v>0</v>
      </c>
      <c r="U75" s="322" t="e" cm="1">
        <f t="array" ref="U75">_xlfn.IFS($E75='Hidden Lists and Summaries'!$B$146,$F75)</f>
        <v>#N/A</v>
      </c>
      <c r="V75" s="322">
        <f t="shared" ref="V75" si="7">$H75</f>
        <v>0</v>
      </c>
      <c r="W75" s="322">
        <f t="shared" ref="W75" si="8">$G75</f>
        <v>0</v>
      </c>
      <c r="X75" s="924" cm="1">
        <f t="array" ref="X75">_xlfn.IFS($E75='Hidden Lists and Summaries'!$B$146,$T75-$U75,$E75='Hidden Lists and Summaries'!$B$147,$V75*$W75,TRUE,0)</f>
        <v>0</v>
      </c>
      <c r="AC75" s="261"/>
    </row>
    <row r="76" spans="1:41" ht="12.75" customHeight="1" x14ac:dyDescent="0.25">
      <c r="A76" s="261"/>
      <c r="B76" s="1375"/>
      <c r="C76" s="1375"/>
      <c r="D76" s="1375"/>
      <c r="E76" s="1375"/>
      <c r="F76" s="1375"/>
      <c r="G76" s="1375"/>
      <c r="H76" s="1375"/>
      <c r="I76" s="1375"/>
      <c r="J76" s="1375"/>
      <c r="K76" s="1375"/>
      <c r="L76" s="1375"/>
      <c r="M76" s="1375"/>
      <c r="N76" s="1375"/>
      <c r="O76" s="1375"/>
      <c r="P76" s="1375"/>
      <c r="Q76" s="40"/>
      <c r="T76" s="263"/>
      <c r="AC76" s="261"/>
    </row>
    <row r="77" spans="1:41" ht="12.75" customHeight="1" x14ac:dyDescent="0.25">
      <c r="T77" s="263"/>
      <c r="AC77" s="261"/>
    </row>
    <row r="78" spans="1:41" s="1069" customFormat="1" ht="15.65" customHeight="1" x14ac:dyDescent="0.25">
      <c r="B78" s="1081"/>
      <c r="C78" s="1082"/>
      <c r="D78" s="1082"/>
      <c r="E78" s="1082"/>
      <c r="F78" s="1082"/>
      <c r="G78" s="1082"/>
      <c r="H78" s="1082"/>
      <c r="I78" s="1082"/>
      <c r="J78" s="1082"/>
      <c r="K78" s="1082"/>
      <c r="L78" s="1082"/>
      <c r="M78" s="1082"/>
      <c r="N78" s="1082"/>
      <c r="O78" s="1082"/>
      <c r="P78" s="1082"/>
      <c r="Q78" s="1083"/>
      <c r="T78" s="1088"/>
      <c r="U78" s="1079"/>
      <c r="V78" s="1079"/>
      <c r="W78" s="1079"/>
      <c r="X78" s="1079"/>
      <c r="Y78" s="1079"/>
      <c r="Z78" s="1079"/>
      <c r="AA78" s="1079"/>
      <c r="AB78" s="1079"/>
      <c r="AC78" s="1080"/>
      <c r="AD78" s="1079"/>
      <c r="AE78" s="1079"/>
      <c r="AF78"/>
      <c r="AG78"/>
      <c r="AH78"/>
      <c r="AI78"/>
      <c r="AJ78"/>
      <c r="AK78"/>
      <c r="AL78"/>
      <c r="AM78"/>
      <c r="AN78"/>
      <c r="AO78"/>
    </row>
    <row r="79" spans="1:41" s="1069" customFormat="1" ht="15" customHeight="1" x14ac:dyDescent="0.25">
      <c r="B79" s="1084"/>
      <c r="C79" s="1109" t="s">
        <v>716</v>
      </c>
      <c r="D79" s="1086"/>
      <c r="E79" s="1086"/>
      <c r="F79" s="1086"/>
      <c r="G79" s="1086"/>
      <c r="H79" s="1086"/>
      <c r="I79" s="1086"/>
      <c r="J79" s="1086"/>
      <c r="K79" s="1086"/>
      <c r="L79" s="1086"/>
      <c r="M79" s="1086"/>
      <c r="N79" s="1086"/>
      <c r="O79" s="1086"/>
      <c r="P79" s="1086"/>
      <c r="Q79" s="1087"/>
      <c r="T79" s="1088"/>
      <c r="U79" s="1079"/>
      <c r="V79" s="1079"/>
      <c r="W79" s="1079"/>
      <c r="X79" s="1079"/>
      <c r="Y79" s="1079"/>
      <c r="Z79" s="1079"/>
      <c r="AA79" s="1079"/>
      <c r="AB79" s="1079"/>
      <c r="AC79" s="1080"/>
      <c r="AD79" s="1079"/>
      <c r="AE79" s="1079"/>
      <c r="AF79"/>
      <c r="AG79"/>
      <c r="AH79"/>
      <c r="AI79"/>
      <c r="AJ79"/>
      <c r="AK79"/>
      <c r="AL79"/>
      <c r="AM79"/>
      <c r="AN79"/>
      <c r="AO79"/>
    </row>
    <row r="80" spans="1:41" s="1069" customFormat="1" ht="15.65" customHeight="1" x14ac:dyDescent="0.25">
      <c r="B80" s="1089"/>
      <c r="C80" s="1090"/>
      <c r="D80" s="1090"/>
      <c r="E80" s="1091" t="s">
        <v>80</v>
      </c>
      <c r="F80" s="1091" t="s">
        <v>81</v>
      </c>
      <c r="G80" s="1092"/>
      <c r="H80" s="1092"/>
      <c r="I80" s="1092"/>
      <c r="J80" s="1093"/>
      <c r="K80" s="1090"/>
      <c r="L80" s="1090"/>
      <c r="M80" s="1090"/>
      <c r="N80" s="1090"/>
      <c r="O80" s="1091" t="s">
        <v>82</v>
      </c>
      <c r="P80" s="1090"/>
      <c r="Q80" s="1094"/>
      <c r="T80" s="1153" t="s">
        <v>228</v>
      </c>
      <c r="U80" s="1153" t="s">
        <v>229</v>
      </c>
      <c r="V80" s="1154" t="s">
        <v>230</v>
      </c>
      <c r="W80" s="1154" t="s">
        <v>231</v>
      </c>
      <c r="X80" s="1154" t="s">
        <v>232</v>
      </c>
      <c r="Y80" s="1168" t="s">
        <v>233</v>
      </c>
      <c r="Z80" s="1169" t="s">
        <v>234</v>
      </c>
      <c r="AA80" s="1079"/>
      <c r="AB80" s="1079"/>
      <c r="AC80" s="1080"/>
      <c r="AF80"/>
      <c r="AG80"/>
      <c r="AH80"/>
      <c r="AI80"/>
      <c r="AJ80"/>
      <c r="AK80"/>
      <c r="AL80"/>
      <c r="AM80"/>
      <c r="AN80"/>
      <c r="AO80"/>
    </row>
    <row r="81" spans="2:41" s="1069" customFormat="1" ht="15.65" customHeight="1" x14ac:dyDescent="0.25">
      <c r="B81" s="1170"/>
      <c r="C81" s="1171"/>
      <c r="D81" s="1171"/>
      <c r="E81" s="1172"/>
      <c r="F81" s="1172"/>
      <c r="G81" s="1173"/>
      <c r="H81" s="1173"/>
      <c r="I81" s="1173"/>
      <c r="J81" s="1174"/>
      <c r="K81" s="1171"/>
      <c r="L81" s="1171"/>
      <c r="M81" s="1171"/>
      <c r="N81" s="1171"/>
      <c r="O81" s="1172"/>
      <c r="P81" s="1171"/>
      <c r="Q81" s="1175"/>
      <c r="T81" s="1156"/>
      <c r="U81" s="1156" t="s">
        <v>84</v>
      </c>
      <c r="V81" s="1154" t="s">
        <v>84</v>
      </c>
      <c r="W81" s="1157"/>
      <c r="X81" s="1157"/>
      <c r="Y81" s="1168"/>
      <c r="Z81" s="1169"/>
      <c r="AA81" s="1079"/>
      <c r="AB81" s="1079"/>
      <c r="AC81" s="1080"/>
      <c r="AF81"/>
      <c r="AG81"/>
      <c r="AH81"/>
      <c r="AI81"/>
      <c r="AJ81"/>
      <c r="AK81"/>
      <c r="AL81"/>
      <c r="AM81"/>
      <c r="AN81"/>
      <c r="AO81"/>
    </row>
    <row r="82" spans="2:41" s="1069" customFormat="1" ht="15.65" customHeight="1" x14ac:dyDescent="0.25">
      <c r="B82" s="1095"/>
      <c r="C82" s="1189" t="s">
        <v>235</v>
      </c>
      <c r="D82" s="1096"/>
      <c r="E82" s="552"/>
      <c r="F82" s="1177" t="s">
        <v>415</v>
      </c>
      <c r="G82" s="75"/>
      <c r="H82" s="1098"/>
      <c r="I82" s="1098"/>
      <c r="J82" s="1096"/>
      <c r="K82" s="1096"/>
      <c r="L82" s="1096"/>
      <c r="M82" s="1096"/>
      <c r="N82" s="1096"/>
      <c r="O82" s="1096"/>
      <c r="P82" s="1096"/>
      <c r="Q82" s="1099"/>
      <c r="T82" s="1178" t="s">
        <v>120</v>
      </c>
      <c r="U82" s="104">
        <f>E82*VLOOKUP(F82,EnergyConversionTable[],3)</f>
        <v>0</v>
      </c>
      <c r="V82" s="104"/>
      <c r="W82" s="278"/>
      <c r="X82" s="1147" t="s">
        <v>236</v>
      </c>
      <c r="Y82" s="1179" t="str">
        <f>overall_locationBasedImportEmissions</f>
        <v>Error -  Review inputs</v>
      </c>
      <c r="Z82" s="1149">
        <f>W85</f>
        <v>0</v>
      </c>
      <c r="AA82" s="1079"/>
      <c r="AB82" s="1079"/>
      <c r="AC82" s="1080"/>
      <c r="AF82"/>
      <c r="AG82"/>
      <c r="AH82"/>
      <c r="AI82"/>
      <c r="AJ82"/>
      <c r="AK82"/>
      <c r="AL82"/>
      <c r="AM82"/>
      <c r="AN82"/>
      <c r="AO82"/>
    </row>
    <row r="83" spans="2:41" s="1069" customFormat="1" ht="15.5" x14ac:dyDescent="0.25">
      <c r="B83" s="1095"/>
      <c r="C83" s="1180" t="s">
        <v>237</v>
      </c>
      <c r="D83" s="1096"/>
      <c r="E83" s="548"/>
      <c r="F83" s="1181" t="s">
        <v>415</v>
      </c>
      <c r="G83" s="75" t="str">
        <f>IF('Electricity Usage'!$H$71&gt;1,'Hidden Lists and Summaries'!$D$160,"")</f>
        <v/>
      </c>
      <c r="H83" s="1098"/>
      <c r="I83" s="1098"/>
      <c r="J83" s="1096"/>
      <c r="K83" s="1096"/>
      <c r="L83" s="1096"/>
      <c r="M83" s="1096"/>
      <c r="N83" s="1182" t="s">
        <v>236</v>
      </c>
      <c r="O83" s="1183" t="str">
        <f>IFERROR(Y82*Z82,'Hidden Lists and Summaries'!$C$158)</f>
        <v>Error -  Review inputs</v>
      </c>
      <c r="P83" s="1184" t="s">
        <v>90</v>
      </c>
      <c r="Q83" s="1099"/>
      <c r="T83" s="1185" t="s">
        <v>238</v>
      </c>
      <c r="U83" s="91">
        <f>E83*VLOOKUP(F83,EnergyConversionTable[],3)</f>
        <v>0</v>
      </c>
      <c r="V83" s="91"/>
      <c r="W83" s="218"/>
      <c r="X83" s="1088" t="s">
        <v>239</v>
      </c>
      <c r="Y83" s="1186">
        <f>overall_ImportEmissions</f>
        <v>0</v>
      </c>
      <c r="Z83" s="1080">
        <f>W85</f>
        <v>0</v>
      </c>
      <c r="AA83" s="1079"/>
      <c r="AB83" s="1079"/>
      <c r="AC83" s="1080"/>
      <c r="AF83"/>
      <c r="AG83"/>
      <c r="AH83"/>
      <c r="AI83"/>
      <c r="AJ83"/>
      <c r="AK83"/>
      <c r="AL83"/>
      <c r="AM83"/>
      <c r="AN83"/>
      <c r="AO83"/>
    </row>
    <row r="84" spans="2:41" s="1069" customFormat="1" ht="15.65" customHeight="1" x14ac:dyDescent="0.25">
      <c r="B84" s="1095"/>
      <c r="C84" s="1180"/>
      <c r="D84" s="1187"/>
      <c r="E84" s="1173"/>
      <c r="F84" s="1173"/>
      <c r="G84" s="75"/>
      <c r="H84" s="1098"/>
      <c r="I84" s="1098"/>
      <c r="J84" s="1098"/>
      <c r="K84" s="1098"/>
      <c r="L84" s="1096"/>
      <c r="M84" s="1096"/>
      <c r="N84" s="1130" t="s">
        <v>239</v>
      </c>
      <c r="O84" s="1131">
        <f>IFERROR(Y83*Z83,'Hidden Lists and Summaries'!$C$158)</f>
        <v>0</v>
      </c>
      <c r="P84" s="1132" t="s">
        <v>90</v>
      </c>
      <c r="Q84" s="1099"/>
      <c r="T84" s="1185"/>
      <c r="U84" s="91">
        <f>U83</f>
        <v>0</v>
      </c>
      <c r="V84" s="91">
        <f>overall_onsiteElecGenRenewables+overall_verifiedRenewableElectricityImported</f>
        <v>0</v>
      </c>
      <c r="W84" s="218">
        <f>IF(V84=0,0,U84/V84)</f>
        <v>0</v>
      </c>
      <c r="X84" s="1088" t="s">
        <v>242</v>
      </c>
      <c r="Y84" s="1186">
        <f>total_embodiedEmissionsCombustionBasedElectricity</f>
        <v>0</v>
      </c>
      <c r="Z84" s="1080">
        <f>W86</f>
        <v>0</v>
      </c>
      <c r="AA84" s="1079"/>
      <c r="AB84" s="1079"/>
      <c r="AC84" s="1080"/>
      <c r="AF84"/>
      <c r="AG84"/>
      <c r="AH84"/>
      <c r="AI84"/>
      <c r="AJ84"/>
      <c r="AK84"/>
      <c r="AL84"/>
      <c r="AM84"/>
      <c r="AN84"/>
      <c r="AO84"/>
    </row>
    <row r="85" spans="2:41" s="1069" customFormat="1" ht="15.65" customHeight="1" x14ac:dyDescent="0.25">
      <c r="B85" s="1095"/>
      <c r="C85" s="1176" t="s">
        <v>244</v>
      </c>
      <c r="D85" s="1188"/>
      <c r="E85" s="552"/>
      <c r="F85" s="1177" t="s">
        <v>415</v>
      </c>
      <c r="G85" s="75" t="str">
        <f>IF('Electricity Usage'!$E$71&gt;1,'Hidden Lists and Summaries'!$D$157,"")</f>
        <v/>
      </c>
      <c r="H85" s="1098"/>
      <c r="I85" s="1098"/>
      <c r="J85" s="1096"/>
      <c r="K85" s="1096"/>
      <c r="L85" s="1096"/>
      <c r="M85" s="1096"/>
      <c r="N85" s="1130" t="s">
        <v>242</v>
      </c>
      <c r="O85" s="1131">
        <f>IFERROR(Y84*Z84,'Hidden Lists and Summaries'!$C$158)</f>
        <v>0</v>
      </c>
      <c r="P85" s="1132" t="s">
        <v>90</v>
      </c>
      <c r="Q85" s="1099"/>
      <c r="T85" s="1185" t="s">
        <v>246</v>
      </c>
      <c r="U85" s="91">
        <f>E85*VLOOKUP(F85,EnergyConversionTable[],3)</f>
        <v>0</v>
      </c>
      <c r="V85" s="91">
        <f>overall_totalImportedElectricity</f>
        <v>0</v>
      </c>
      <c r="W85" s="218">
        <f>IF(V85=0,0,U85/V85)</f>
        <v>0</v>
      </c>
      <c r="X85" s="1197" t="s">
        <v>247</v>
      </c>
      <c r="Y85" s="1400">
        <f>total_emissionsCombustionBasedElectricity</f>
        <v>0</v>
      </c>
      <c r="Z85" s="1143">
        <f>W86</f>
        <v>0</v>
      </c>
      <c r="AA85" s="1079"/>
      <c r="AB85" s="1079"/>
      <c r="AC85" s="1080"/>
      <c r="AF85"/>
      <c r="AG85"/>
      <c r="AH85"/>
      <c r="AI85"/>
      <c r="AJ85"/>
      <c r="AK85"/>
      <c r="AL85"/>
      <c r="AM85"/>
      <c r="AN85"/>
      <c r="AO85"/>
    </row>
    <row r="86" spans="2:41" s="1069" customFormat="1" ht="15" customHeight="1" x14ac:dyDescent="0.25">
      <c r="B86" s="1095"/>
      <c r="C86" s="1176" t="s">
        <v>249</v>
      </c>
      <c r="D86" s="1096"/>
      <c r="E86" s="548"/>
      <c r="F86" s="1181" t="s">
        <v>415</v>
      </c>
      <c r="G86" s="75" t="str">
        <f>IF('Electricity Usage'!$F$71&gt;1,'Hidden Lists and Summaries'!$D$158,"")</f>
        <v/>
      </c>
      <c r="H86" s="1098"/>
      <c r="I86" s="1098"/>
      <c r="J86" s="1096"/>
      <c r="K86" s="1096"/>
      <c r="L86" s="1096"/>
      <c r="M86" s="1096"/>
      <c r="N86" s="1130" t="s">
        <v>247</v>
      </c>
      <c r="O86" s="1131">
        <f>IFERROR(Y85*Z85,'Hidden Lists and Summaries'!$C$158)</f>
        <v>0</v>
      </c>
      <c r="P86" s="1132" t="s">
        <v>90</v>
      </c>
      <c r="Q86" s="1099"/>
      <c r="T86" s="1190" t="s">
        <v>251</v>
      </c>
      <c r="U86" s="185">
        <f>E86*VLOOKUP(F86,EnergyConversionTable[],3)</f>
        <v>0</v>
      </c>
      <c r="V86" s="185">
        <f>overall_totalOnsiteCombustionElecGen</f>
        <v>0</v>
      </c>
      <c r="W86" s="225">
        <f>IF(V86=0,0,U86/V86)</f>
        <v>0</v>
      </c>
      <c r="X86" s="1079"/>
      <c r="Y86" s="1079"/>
      <c r="Z86" s="1179"/>
      <c r="AA86" s="1079"/>
      <c r="AB86" s="1079"/>
      <c r="AC86" s="1080"/>
      <c r="AF86"/>
      <c r="AG86"/>
      <c r="AH86"/>
      <c r="AI86"/>
      <c r="AJ86"/>
      <c r="AK86"/>
      <c r="AL86"/>
      <c r="AM86"/>
      <c r="AN86"/>
      <c r="AO86"/>
    </row>
    <row r="87" spans="2:41" s="1069" customFormat="1" ht="15.65" customHeight="1" x14ac:dyDescent="0.25">
      <c r="B87" s="1105"/>
      <c r="C87" s="1106"/>
      <c r="D87" s="1106"/>
      <c r="E87" s="1106"/>
      <c r="F87" s="1106"/>
      <c r="G87" s="1106"/>
      <c r="H87" s="1115"/>
      <c r="I87" s="1115"/>
      <c r="J87" s="1106"/>
      <c r="K87" s="1106"/>
      <c r="L87" s="1106"/>
      <c r="M87" s="1106"/>
      <c r="N87" s="1144" t="s">
        <v>120</v>
      </c>
      <c r="O87" s="1145">
        <f>SUM(O84:O86)</f>
        <v>0</v>
      </c>
      <c r="P87" s="1146" t="s">
        <v>90</v>
      </c>
      <c r="Q87" s="1107"/>
      <c r="T87" s="1088"/>
      <c r="U87" s="1079"/>
      <c r="V87" s="1079"/>
      <c r="W87" s="1079"/>
      <c r="X87" s="1079"/>
      <c r="Y87" s="1079"/>
      <c r="Z87" s="1079"/>
      <c r="AA87" s="1079"/>
      <c r="AB87" s="1079"/>
      <c r="AC87" s="1080"/>
      <c r="AD87" s="1079"/>
      <c r="AE87" s="1079"/>
      <c r="AF87"/>
      <c r="AG87"/>
      <c r="AH87"/>
      <c r="AI87"/>
      <c r="AJ87"/>
      <c r="AK87"/>
      <c r="AL87"/>
      <c r="AM87"/>
      <c r="AN87"/>
      <c r="AO87"/>
    </row>
    <row r="88" spans="2:41" ht="12.75" customHeight="1" x14ac:dyDescent="0.25">
      <c r="T88" s="263"/>
      <c r="AC88" s="261"/>
    </row>
    <row r="89" spans="2:41" s="1069" customFormat="1" ht="15.65" customHeight="1" x14ac:dyDescent="0.25">
      <c r="B89" s="1081"/>
      <c r="C89" s="1082"/>
      <c r="D89" s="1082"/>
      <c r="E89" s="1082"/>
      <c r="F89" s="1082"/>
      <c r="G89" s="1082"/>
      <c r="H89" s="1907" t="s">
        <v>287</v>
      </c>
      <c r="I89" s="1907"/>
      <c r="J89" s="1907"/>
      <c r="K89" s="1082"/>
      <c r="L89" s="1082"/>
      <c r="M89" s="1082"/>
      <c r="N89" s="1082"/>
      <c r="O89" s="1082"/>
      <c r="P89" s="1082"/>
      <c r="Q89" s="1083"/>
      <c r="T89" s="1088"/>
      <c r="U89" s="1079"/>
      <c r="V89" s="1079"/>
      <c r="W89" s="1079"/>
      <c r="X89" s="1079"/>
      <c r="Y89" s="1079"/>
      <c r="Z89" s="1079"/>
      <c r="AA89" s="1079"/>
      <c r="AB89" s="1079"/>
      <c r="AC89" s="1080"/>
      <c r="AD89" s="1079"/>
      <c r="AE89" s="1079"/>
      <c r="AF89"/>
      <c r="AG89"/>
      <c r="AH89"/>
      <c r="AI89"/>
      <c r="AJ89"/>
      <c r="AK89"/>
      <c r="AL89"/>
      <c r="AM89"/>
      <c r="AN89"/>
      <c r="AO89"/>
    </row>
    <row r="90" spans="2:41" s="1069" customFormat="1" ht="15.65" customHeight="1" x14ac:dyDescent="0.25">
      <c r="B90" s="1084"/>
      <c r="C90" s="1198" t="s">
        <v>717</v>
      </c>
      <c r="D90" s="1151"/>
      <c r="E90" s="1151"/>
      <c r="F90" s="1151"/>
      <c r="G90" s="1151"/>
      <c r="H90" s="1151"/>
      <c r="I90" s="1915" t="s">
        <v>797</v>
      </c>
      <c r="J90" s="1902" t="s">
        <v>289</v>
      </c>
      <c r="K90" s="1902" t="s">
        <v>515</v>
      </c>
      <c r="L90" s="1151"/>
      <c r="M90" s="1151"/>
      <c r="N90" s="1151"/>
      <c r="O90" s="1151"/>
      <c r="P90" s="1151"/>
      <c r="Q90" s="1087"/>
      <c r="T90" s="1088"/>
      <c r="U90" s="1079"/>
      <c r="V90" s="1079"/>
      <c r="W90" s="1079"/>
      <c r="X90" s="1079"/>
      <c r="Y90" s="1079"/>
      <c r="Z90" s="1079"/>
      <c r="AA90" s="1079"/>
      <c r="AB90" s="1079"/>
      <c r="AC90" s="1080"/>
      <c r="AD90" s="1079"/>
      <c r="AE90" s="1079"/>
      <c r="AF90"/>
      <c r="AG90"/>
      <c r="AH90"/>
      <c r="AI90"/>
      <c r="AJ90"/>
      <c r="AK90"/>
      <c r="AL90"/>
      <c r="AM90"/>
      <c r="AN90"/>
      <c r="AO90"/>
    </row>
    <row r="91" spans="2:41" s="1069" customFormat="1" ht="15.65" customHeight="1" x14ac:dyDescent="0.25">
      <c r="B91" s="1089"/>
      <c r="C91" s="1090"/>
      <c r="D91" s="1090"/>
      <c r="E91" s="1091" t="s">
        <v>112</v>
      </c>
      <c r="F91" s="1091" t="s">
        <v>117</v>
      </c>
      <c r="G91" s="1091" t="s">
        <v>119</v>
      </c>
      <c r="H91" s="1111" t="s">
        <v>184</v>
      </c>
      <c r="I91" s="1916"/>
      <c r="J91" s="1896"/>
      <c r="K91" s="1896"/>
      <c r="L91" s="1093"/>
      <c r="M91" s="1093"/>
      <c r="N91" s="1093"/>
      <c r="O91" s="1091" t="s">
        <v>82</v>
      </c>
      <c r="P91" s="1093"/>
      <c r="Q91" s="1112"/>
      <c r="T91" s="1325" t="s">
        <v>106</v>
      </c>
      <c r="U91" s="1231" t="s">
        <v>107</v>
      </c>
      <c r="V91" s="1232" t="s">
        <v>108</v>
      </c>
      <c r="W91" s="1122" t="s">
        <v>109</v>
      </c>
      <c r="X91" s="1079"/>
      <c r="Y91" s="1079"/>
      <c r="Z91" s="1079"/>
      <c r="AA91" s="1079"/>
      <c r="AB91" s="1079"/>
      <c r="AC91" s="1476"/>
      <c r="AD91" s="1079"/>
      <c r="AE91" s="1079"/>
      <c r="AF91"/>
      <c r="AG91"/>
      <c r="AH91"/>
      <c r="AI91"/>
      <c r="AJ91"/>
      <c r="AK91"/>
      <c r="AL91"/>
      <c r="AM91"/>
      <c r="AN91"/>
      <c r="AO91"/>
    </row>
    <row r="92" spans="2:41" s="1069" customFormat="1" ht="15.65" customHeight="1" x14ac:dyDescent="0.25">
      <c r="B92" s="1095"/>
      <c r="C92" s="1096"/>
      <c r="D92" s="1096"/>
      <c r="E92" s="1096"/>
      <c r="F92" s="1096"/>
      <c r="G92" s="1096"/>
      <c r="H92" s="1098"/>
      <c r="I92" s="100"/>
      <c r="J92" s="1401"/>
      <c r="K92" s="1096"/>
      <c r="L92" s="1099"/>
      <c r="M92" s="1182"/>
      <c r="N92" s="1402" t="s">
        <v>257</v>
      </c>
      <c r="O92" s="1402" t="s">
        <v>259</v>
      </c>
      <c r="P92" s="1403"/>
      <c r="Q92" s="1099"/>
      <c r="T92" s="1156" t="s">
        <v>113</v>
      </c>
      <c r="U92" s="1232" t="s">
        <v>114</v>
      </c>
      <c r="V92" s="1156" t="s">
        <v>113</v>
      </c>
      <c r="W92" s="1122" t="s">
        <v>115</v>
      </c>
      <c r="X92" s="1079"/>
      <c r="Y92" s="1079"/>
      <c r="Z92" s="1079"/>
      <c r="AA92" s="1079"/>
      <c r="AB92" s="1079"/>
      <c r="AC92" s="1166"/>
      <c r="AD92" s="1079"/>
      <c r="AE92" s="1079"/>
      <c r="AF92"/>
      <c r="AG92"/>
      <c r="AH92"/>
      <c r="AI92"/>
      <c r="AJ92"/>
      <c r="AK92"/>
      <c r="AL92"/>
      <c r="AM92"/>
      <c r="AN92"/>
      <c r="AO92"/>
    </row>
    <row r="93" spans="2:41" s="1069" customFormat="1" ht="15.65" customHeight="1" x14ac:dyDescent="0.25">
      <c r="B93" s="1095"/>
      <c r="C93" s="1113" t="s">
        <v>291</v>
      </c>
      <c r="D93" s="1096"/>
      <c r="E93" s="355"/>
      <c r="F93" s="373"/>
      <c r="G93" s="374"/>
      <c r="H93" s="427"/>
      <c r="I93" s="375"/>
      <c r="J93" s="376"/>
      <c r="K93" s="482"/>
      <c r="L93" s="1099"/>
      <c r="M93" s="1131"/>
      <c r="N93" s="1131">
        <f>IF(AND(E93="",F93="",G93="",H93="",I93="",J93="",K93=""),0,IFERROR(U93*V93*W93,'Hidden Lists and Summaries'!$C$158))</f>
        <v>0</v>
      </c>
      <c r="O93" s="1131">
        <f>IF(AND(E93="",F93="",G93="",H93="",I93="",J93="",K93=""),0,IFERROR(T93*U93*W93,'Hidden Lists and Summaries'!$C$158))</f>
        <v>0</v>
      </c>
      <c r="P93" s="1132" t="s">
        <v>90</v>
      </c>
      <c r="Q93" s="1099"/>
      <c r="T93" s="1404" t="str">
        <f>IF(I93&lt;&gt;"",I93,
IF(E93="Solid Fuel",VLOOKUP(F93,'Key Values'!$B$40:$G$58,6,FALSE),
IF(E93="Gaseous Fuel", VLOOKUP(F93,'Key Values'!$B$71:$G$88,6,FALSE),
IF(E93="Liquid Fuel", VLOOKUP(F93,'Key Values'!$B$100:$H$120,7,FALSE),
'Hidden Lists and Summaries'!$C$157))))</f>
        <v>No default, please enter a bespoke value</v>
      </c>
      <c r="U93" s="1148" t="e">
        <f>IF(J93&lt;&gt;"",J93,IF(E93="Solid Fuel",VLOOKUP(F93,'Key Values'!$B$40:$G$58,2,FALSE),
IF(E93="Gaseous Fuel",VLOOKUP(F93,'Key Values'!$B$71:$G$88,2,FALSE),
VLOOKUP(F93,'Key Values'!$B$100:$H$120,2,FALSE))))</f>
        <v>#N/A</v>
      </c>
      <c r="V93" s="1405" t="e" cm="1">
        <f t="array" ref="V93">_xlfn.IFS(K93&lt;&gt;"",K93,E93="Solid Fuel", VLOOKUP(F93,'Key Values'!$B$61:$C$68,2,FALSE),
E93="Liquid fuel",VLOOKUP(F93,'Key Values'!$B$123:$C$143,2,FALSE),
E93="Gaseous Fuel", IF(VLOOKUP(F93,GasFuel[#All],7,FALSE)=TRUE,IF(F93='Key Values'!$B$77,'Hidden Lists and Summaries'!$C$157,VLOOKUP(iq_location,GaseousFuelEmbodiedEmissions[#All],IF(iq_metro="Yes",2,3),FALSE)),'Hidden Lists and Summaries'!$C$157))</f>
        <v>#N/A</v>
      </c>
      <c r="W93" s="1406" t="e" cm="1">
        <f t="array" ref="W93">_xlfn.IFS('Key Values'!$B$35=E93, VLOOKUP(H93,massConv[#All], 2, FALSE),
'Key Values'!$B$36=E93, IF(VLOOKUP(F93,'Key Values'!$B$101:$H$121,3,FALSE)="GJ/t", VLOOKUP(H93,massConv[#All], 2, FALSE), VLOOKUP(H93,volConv[#All], 2, FALSE)),
'Key Values'!$B$37=E93, VLOOKUP(H93,volConv[#All], 2, FALSE)) * G93</f>
        <v>#N/A</v>
      </c>
      <c r="X93" s="1079"/>
      <c r="Y93" s="1079"/>
      <c r="Z93" s="1079"/>
      <c r="AA93" s="1079"/>
      <c r="AB93" s="1079"/>
      <c r="AC93" s="1235"/>
      <c r="AD93" s="1079"/>
      <c r="AE93" s="1079"/>
      <c r="AF93"/>
      <c r="AG93"/>
      <c r="AH93"/>
      <c r="AI93"/>
      <c r="AJ93"/>
      <c r="AK93"/>
      <c r="AL93"/>
      <c r="AM93"/>
      <c r="AN93"/>
      <c r="AO93"/>
    </row>
    <row r="94" spans="2:41" s="1069" customFormat="1" ht="15.65" customHeight="1" x14ac:dyDescent="0.25">
      <c r="B94" s="1095"/>
      <c r="C94" s="1113" t="s">
        <v>292</v>
      </c>
      <c r="D94" s="1096"/>
      <c r="E94" s="377"/>
      <c r="F94" s="378"/>
      <c r="G94" s="379"/>
      <c r="H94" s="380"/>
      <c r="I94" s="381"/>
      <c r="J94" s="382"/>
      <c r="K94" s="487"/>
      <c r="L94" s="1099"/>
      <c r="M94" s="1131"/>
      <c r="N94" s="1131">
        <f>IF(AND(E94="",F94="",G94="",H94="",I94="",J94="",K94=""),0,IFERROR(U94*V94*W94,'Hidden Lists and Summaries'!$C$158))</f>
        <v>0</v>
      </c>
      <c r="O94" s="1131">
        <f>IF(AND(E94="",F94="",G94="",H94="",I94="",J94="",K94=""),0,IFERROR(T94*U94*W94,'Hidden Lists and Summaries'!$C$158))</f>
        <v>0</v>
      </c>
      <c r="P94" s="1132" t="s">
        <v>90</v>
      </c>
      <c r="Q94" s="1099"/>
      <c r="T94" s="1340" t="str">
        <f>IF(I94&lt;&gt;"",I94,
IF(E94="Solid Fuel",VLOOKUP(F94,'Key Values'!$B$40:$G$58,6,FALSE),
IF(E94="Gaseous Fuel", VLOOKUP(F94,'Key Values'!$B$71:$G$88,6,FALSE),
IF(E94="Liquid Fuel", VLOOKUP(F94,'Key Values'!$B$100:$H$120,7,FALSE),
'Hidden Lists and Summaries'!$C$157))))</f>
        <v>No default, please enter a bespoke value</v>
      </c>
      <c r="U94" s="1079" t="e">
        <f>IF(J94&lt;&gt;"",J94,IF(E94="Solid Fuel",VLOOKUP(F94,'Key Values'!$B$40:$G$58,2,FALSE),
IF(E94="Gaseous Fuel",VLOOKUP(F94,'Key Values'!$B$71:$G$88,2,FALSE),
VLOOKUP(F94,'Key Values'!$B$100:$H$120,2,FALSE))))</f>
        <v>#N/A</v>
      </c>
      <c r="V94" s="1234" t="e" cm="1">
        <f t="array" ref="V94">_xlfn.IFS(K94&lt;&gt;"",K94,E94="Solid Fuel", VLOOKUP(F94,'Key Values'!$B$61:$C$68,2,FALSE),
E94="Liquid fuel",VLOOKUP(F94,'Key Values'!$B$123:$C$143,2,FALSE),
E94="Gaseous Fuel", IF(VLOOKUP(F94,GasFuel[#All],7,FALSE)=TRUE,IF(F94='Key Values'!$B$77,'Hidden Lists and Summaries'!$C$157,VLOOKUP(iq_location,GaseousFuelEmbodiedEmissions[#All],IF(iq_metro="Yes",2,3),FALSE)),'Hidden Lists and Summaries'!$C$157))</f>
        <v>#N/A</v>
      </c>
      <c r="W94" s="1333" t="e" cm="1">
        <f t="array" ref="W94">_xlfn.IFS('Key Values'!$B$35=E94, VLOOKUP(H94,massConv[#All], 2, FALSE),
'Key Values'!$B$36=E94, IF(VLOOKUP(F94,'Key Values'!$B$101:$H$121,3,FALSE)="GJ/t", VLOOKUP(H94,massConv[#All], 2, FALSE), VLOOKUP(H94,volConv[#All], 2, FALSE)),
'Key Values'!$B$37=E94, VLOOKUP(H94,volConv[#All], 2, FALSE)) * G94</f>
        <v>#N/A</v>
      </c>
      <c r="X94" s="1079"/>
      <c r="Y94" s="1079"/>
      <c r="Z94" s="1079"/>
      <c r="AA94" s="1079"/>
      <c r="AB94" s="1079"/>
      <c r="AC94" s="1080"/>
      <c r="AD94" s="1079"/>
      <c r="AE94" s="1079"/>
      <c r="AF94"/>
      <c r="AG94"/>
      <c r="AH94"/>
      <c r="AI94"/>
      <c r="AJ94"/>
      <c r="AK94"/>
      <c r="AL94"/>
      <c r="AM94"/>
      <c r="AN94"/>
      <c r="AO94"/>
    </row>
    <row r="95" spans="2:41" s="1069" customFormat="1" ht="15.65" customHeight="1" x14ac:dyDescent="0.25">
      <c r="B95" s="1095"/>
      <c r="C95" s="1113" t="s">
        <v>293</v>
      </c>
      <c r="D95" s="1096"/>
      <c r="E95" s="384"/>
      <c r="F95" s="385"/>
      <c r="G95" s="386"/>
      <c r="H95" s="380"/>
      <c r="I95" s="381"/>
      <c r="J95" s="382"/>
      <c r="K95" s="486"/>
      <c r="L95" s="1099"/>
      <c r="M95" s="1131"/>
      <c r="N95" s="1131">
        <f>IF(AND(E95="",F95="",G95="",H95="",I95="",J95="",K95=""),0,IFERROR(U95*V95*W95,'Hidden Lists and Summaries'!$C$158))</f>
        <v>0</v>
      </c>
      <c r="O95" s="1131">
        <f>IF(AND(E95="",F95="",G95="",H95="",I95="",J95="",K95=""),0,IFERROR(T95*U95*W95,'Hidden Lists and Summaries'!$C$158))</f>
        <v>0</v>
      </c>
      <c r="P95" s="1132" t="s">
        <v>90</v>
      </c>
      <c r="Q95" s="1099"/>
      <c r="T95" s="1340" t="str">
        <f>IF(I95&lt;&gt;"",I95,
IF(E95="Solid Fuel",VLOOKUP(F95,'Key Values'!$B$40:$G$58,6,FALSE),
IF(E95="Gaseous Fuel", VLOOKUP(F95,'Key Values'!$B$71:$G$88,6,FALSE),
IF(E95="Liquid Fuel", VLOOKUP(F95,'Key Values'!$B$100:$H$120,7,FALSE),
'Hidden Lists and Summaries'!$C$157))))</f>
        <v>No default, please enter a bespoke value</v>
      </c>
      <c r="U95" s="1079" t="e">
        <f>IF(J95&lt;&gt;"",J95,IF(E95="Solid Fuel",VLOOKUP(F95,'Key Values'!$B$40:$G$58,2,FALSE),
IF(E95="Gaseous Fuel",VLOOKUP(F95,'Key Values'!$B$71:$G$88,2,FALSE),
VLOOKUP(F95,'Key Values'!$B$100:$H$120,2,FALSE))))</f>
        <v>#N/A</v>
      </c>
      <c r="V95" s="1234" t="e" cm="1">
        <f t="array" ref="V95">_xlfn.IFS(K95&lt;&gt;"",K95,E95="Solid Fuel", VLOOKUP(F95,'Key Values'!$B$61:$C$68,2,FALSE),
E95="Liquid fuel",VLOOKUP(F95,'Key Values'!$B$123:$C$143,2,FALSE),
E95="Gaseous Fuel", IF(VLOOKUP(F95,GasFuel[#All],7,FALSE)=TRUE,IF(F95='Key Values'!$B$77,'Hidden Lists and Summaries'!$C$157,VLOOKUP(iq_location,GaseousFuelEmbodiedEmissions[#All],IF(iq_metro="Yes",2,3),FALSE)),'Hidden Lists and Summaries'!$C$157))</f>
        <v>#N/A</v>
      </c>
      <c r="W95" s="1333" t="e" cm="1">
        <f t="array" ref="W95">_xlfn.IFS('Key Values'!$B$35=E95, VLOOKUP(H95,massConv[#All], 2, FALSE),
'Key Values'!$B$36=E95, IF(VLOOKUP(F95,'Key Values'!$B$101:$H$121,3,FALSE)="GJ/t", VLOOKUP(H95,massConv[#All], 2, FALSE), VLOOKUP(H95,volConv[#All], 2, FALSE)),
'Key Values'!$B$37=E95, VLOOKUP(H95,volConv[#All], 2, FALSE)) * G95</f>
        <v>#N/A</v>
      </c>
      <c r="X95" s="1079"/>
      <c r="Y95" s="1079"/>
      <c r="Z95" s="1079"/>
      <c r="AA95" s="1079"/>
      <c r="AB95" s="1079"/>
      <c r="AC95" s="1080"/>
      <c r="AD95" s="1079"/>
      <c r="AE95" s="1079"/>
      <c r="AF95"/>
      <c r="AG95"/>
      <c r="AH95"/>
      <c r="AI95"/>
      <c r="AJ95"/>
      <c r="AK95"/>
      <c r="AL95"/>
      <c r="AM95"/>
      <c r="AN95"/>
      <c r="AO95"/>
    </row>
    <row r="96" spans="2:41" s="1069" customFormat="1" ht="15" customHeight="1" x14ac:dyDescent="0.25">
      <c r="B96" s="1095"/>
      <c r="C96" s="1113" t="s">
        <v>294</v>
      </c>
      <c r="D96" s="1096"/>
      <c r="E96" s="384"/>
      <c r="F96" s="385"/>
      <c r="G96" s="387"/>
      <c r="H96" s="380"/>
      <c r="I96" s="388"/>
      <c r="J96" s="389"/>
      <c r="K96" s="486"/>
      <c r="L96" s="1099"/>
      <c r="M96" s="1131"/>
      <c r="N96" s="1131">
        <f>IF(AND(E96="",F96="",G96="",H96="",I96="",J96="",K96=""),0,IFERROR(U96*V96*W96,'Hidden Lists and Summaries'!$C$158))</f>
        <v>0</v>
      </c>
      <c r="O96" s="1131">
        <f>IF(AND(E96="",F96="",G96="",H96="",I96="",J96="",K96=""),0,IFERROR(T96*U96*W96,'Hidden Lists and Summaries'!$C$158))</f>
        <v>0</v>
      </c>
      <c r="P96" s="1132" t="s">
        <v>90</v>
      </c>
      <c r="Q96" s="1099"/>
      <c r="T96" s="1340" t="str">
        <f>IF(I96&lt;&gt;"",I96,
IF(E96="Solid Fuel",VLOOKUP(F96,'Key Values'!$B$40:$G$58,6,FALSE),
IF(E96="Gaseous Fuel", VLOOKUP(F96,'Key Values'!$B$71:$G$88,6,FALSE),
IF(E96="Liquid Fuel", VLOOKUP(F96,'Key Values'!$B$100:$H$120,7,FALSE),
'Hidden Lists and Summaries'!$C$157))))</f>
        <v>No default, please enter a bespoke value</v>
      </c>
      <c r="U96" s="1079" t="e">
        <f>IF(J96&lt;&gt;"",J96,IF(E96="Solid Fuel",VLOOKUP(F96,'Key Values'!$B$40:$G$58,2,FALSE),
IF(E96="Gaseous Fuel",VLOOKUP(F96,'Key Values'!$B$71:$G$88,2,FALSE),
VLOOKUP(F96,'Key Values'!$B$100:$H$120,2,FALSE))))</f>
        <v>#N/A</v>
      </c>
      <c r="V96" s="1234" t="e" cm="1">
        <f t="array" ref="V96">_xlfn.IFS(K96&lt;&gt;"",K96,E96="Solid Fuel", VLOOKUP(F96,'Key Values'!$B$61:$C$68,2,FALSE),
E96="Liquid fuel",VLOOKUP(F96,'Key Values'!$B$123:$C$143,2,FALSE),
E96="Gaseous Fuel", IF(VLOOKUP(F96,GasFuel[#All],7,FALSE)=TRUE,IF(F96='Key Values'!$B$77,'Hidden Lists and Summaries'!$C$157,VLOOKUP(iq_location,GaseousFuelEmbodiedEmissions[#All],IF(iq_metro="Yes",2,3),FALSE)),'Hidden Lists and Summaries'!$C$157))</f>
        <v>#N/A</v>
      </c>
      <c r="W96" s="1333" t="e" cm="1">
        <f t="array" ref="W96">_xlfn.IFS('Key Values'!$B$35=E96, VLOOKUP(H96,massConv[#All], 2, FALSE),
'Key Values'!$B$36=E96, IF(VLOOKUP(F96,'Key Values'!$B$101:$H$121,3,FALSE)="GJ/t", VLOOKUP(H96,massConv[#All], 2, FALSE), VLOOKUP(H96,volConv[#All], 2, FALSE)),
'Key Values'!$B$37=E96, VLOOKUP(H96,volConv[#All], 2, FALSE)) * G96</f>
        <v>#N/A</v>
      </c>
      <c r="X96" s="1079"/>
      <c r="Y96" s="1079"/>
      <c r="Z96" s="1079"/>
      <c r="AA96" s="1079"/>
      <c r="AB96" s="1079"/>
      <c r="AC96" s="1080"/>
      <c r="AD96" s="1079"/>
      <c r="AE96" s="1079"/>
      <c r="AF96"/>
      <c r="AG96"/>
      <c r="AH96"/>
      <c r="AI96"/>
      <c r="AJ96"/>
      <c r="AK96"/>
      <c r="AL96"/>
      <c r="AM96"/>
      <c r="AN96"/>
      <c r="AO96"/>
    </row>
    <row r="97" spans="2:41" s="1069" customFormat="1" ht="15" customHeight="1" x14ac:dyDescent="0.25">
      <c r="B97" s="1095"/>
      <c r="C97" s="1113" t="s">
        <v>295</v>
      </c>
      <c r="D97" s="1096"/>
      <c r="E97" s="390"/>
      <c r="F97" s="391"/>
      <c r="G97" s="392"/>
      <c r="H97" s="396"/>
      <c r="I97" s="393"/>
      <c r="J97" s="394"/>
      <c r="K97" s="488"/>
      <c r="L97" s="1099"/>
      <c r="M97" s="1131"/>
      <c r="N97" s="1131">
        <f>IF(AND(E97="",F97="",G97="",H97="",I97="",J97="",K97=""),0,IFERROR(U97*V97*W97,'Hidden Lists and Summaries'!$C$158))</f>
        <v>0</v>
      </c>
      <c r="O97" s="1131">
        <f>IF(AND(E97="",F97="",G97="",H97="",I97="",J97="",K97=""),0,IFERROR(T97*U97*W97,'Hidden Lists and Summaries'!$C$158))</f>
        <v>0</v>
      </c>
      <c r="P97" s="1132" t="s">
        <v>90</v>
      </c>
      <c r="Q97" s="1099"/>
      <c r="T97" s="1407" t="str">
        <f>IF(I97&lt;&gt;"",I97,
IF(E97="Solid Fuel",VLOOKUP(F97,'Key Values'!$B$40:$G$58,6,FALSE),
IF(E97="Gaseous Fuel", VLOOKUP(F97,'Key Values'!$B$71:$G$88,6,FALSE),
IF(E97="Liquid Fuel", VLOOKUP(F97,'Key Values'!$B$100:$H$120,7,FALSE),
'Hidden Lists and Summaries'!$C$157))))</f>
        <v>No default, please enter a bespoke value</v>
      </c>
      <c r="U97" s="1142" t="e">
        <f>IF(J97&lt;&gt;"",J97,IF(E97="Solid Fuel",VLOOKUP(F97,'Key Values'!$B$40:$G$58,2,FALSE),
IF(E97="Gaseous Fuel",VLOOKUP(F97,'Key Values'!$B$71:$G$88,2,FALSE),
VLOOKUP(F97,'Key Values'!$B$100:$H$120,2,FALSE))))</f>
        <v>#N/A</v>
      </c>
      <c r="V97" s="1237" t="e" cm="1">
        <f t="array" ref="V97">_xlfn.IFS(K97&lt;&gt;"",K97,E97="Solid Fuel", VLOOKUP(F97,'Key Values'!$B$61:$C$68,2,FALSE),
E97="Liquid fuel",VLOOKUP(F97,'Key Values'!$B$123:$C$143,2,FALSE),
E97="Gaseous Fuel", IF(VLOOKUP(F97,GasFuel[#All],7,FALSE)=TRUE,IF(F97='Key Values'!$B$77,'Hidden Lists and Summaries'!$C$157,VLOOKUP(iq_location,GaseousFuelEmbodiedEmissions[#All],IF(iq_metro="Yes",2,3),FALSE)),'Hidden Lists and Summaries'!$C$157))</f>
        <v>#N/A</v>
      </c>
      <c r="W97" s="1334" t="e" cm="1">
        <f t="array" ref="W97">_xlfn.IFS('Key Values'!$B$35=E97, VLOOKUP(H97,massConv[#All], 2, FALSE),
'Key Values'!$B$36=E97, IF(VLOOKUP(F97,'Key Values'!$B$101:$H$121,3,FALSE)="GJ/t", VLOOKUP(H97,massConv[#All], 2, FALSE), VLOOKUP(H97,volConv[#All], 2, FALSE)),
'Key Values'!$B$37=E97, VLOOKUP(H97,volConv[#All], 2, FALSE)) * G97</f>
        <v>#N/A</v>
      </c>
      <c r="X97" s="1079"/>
      <c r="Y97" s="1079"/>
      <c r="Z97" s="1079"/>
      <c r="AA97" s="1079"/>
      <c r="AB97" s="1079"/>
      <c r="AC97" s="1080"/>
      <c r="AD97" s="1079"/>
      <c r="AE97" s="1079"/>
      <c r="AF97"/>
      <c r="AG97"/>
      <c r="AH97"/>
      <c r="AI97"/>
      <c r="AJ97"/>
      <c r="AK97"/>
      <c r="AL97"/>
      <c r="AM97"/>
      <c r="AN97"/>
      <c r="AO97"/>
    </row>
    <row r="98" spans="2:41" s="1069" customFormat="1" ht="15.65" customHeight="1" x14ac:dyDescent="0.25">
      <c r="B98" s="1105"/>
      <c r="C98" s="1106"/>
      <c r="D98" s="1106"/>
      <c r="E98" s="1106"/>
      <c r="F98" s="1335"/>
      <c r="G98" s="1239"/>
      <c r="H98" s="1115"/>
      <c r="I98" s="1115"/>
      <c r="J98" s="1106"/>
      <c r="K98" s="1106"/>
      <c r="L98" s="1107"/>
      <c r="M98" s="1241" t="s">
        <v>120</v>
      </c>
      <c r="N98" s="1242">
        <f>SUM(N93:N97)</f>
        <v>0</v>
      </c>
      <c r="O98" s="1145">
        <f>SUM(O93:O97)</f>
        <v>0</v>
      </c>
      <c r="P98" s="1146" t="s">
        <v>90</v>
      </c>
      <c r="Q98" s="1107"/>
      <c r="T98" s="1088"/>
      <c r="U98" s="1079"/>
      <c r="V98" s="1079"/>
      <c r="W98" s="1079"/>
      <c r="X98" s="1079"/>
      <c r="Y98" s="1079"/>
      <c r="Z98" s="1079"/>
      <c r="AA98" s="1079"/>
      <c r="AB98" s="1138"/>
      <c r="AC98" s="1080"/>
      <c r="AD98" s="1079"/>
      <c r="AE98" s="1079"/>
      <c r="AF98"/>
      <c r="AG98"/>
      <c r="AH98"/>
      <c r="AI98"/>
      <c r="AJ98"/>
      <c r="AK98"/>
      <c r="AL98"/>
      <c r="AM98"/>
      <c r="AN98"/>
      <c r="AO98"/>
    </row>
    <row r="99" spans="2:41" ht="12.75" customHeight="1" x14ac:dyDescent="0.25">
      <c r="T99" s="263"/>
      <c r="AC99" s="261"/>
    </row>
    <row r="100" spans="2:41" ht="12.75" customHeight="1" x14ac:dyDescent="0.25">
      <c r="B100" s="1081"/>
      <c r="C100" s="1082"/>
      <c r="D100" s="1082"/>
      <c r="E100" s="1082"/>
      <c r="F100" s="1082"/>
      <c r="G100" s="1082"/>
      <c r="H100" s="1082"/>
      <c r="I100" s="1082"/>
      <c r="J100" s="1082"/>
      <c r="K100" s="1082"/>
      <c r="L100" s="1082"/>
      <c r="M100" s="1082"/>
      <c r="N100" s="1082"/>
      <c r="O100" s="1082"/>
      <c r="P100" s="1082"/>
      <c r="Q100" s="1083"/>
      <c r="T100" s="263"/>
      <c r="AC100" s="261"/>
    </row>
    <row r="101" spans="2:41" ht="12.75" customHeight="1" x14ac:dyDescent="0.25">
      <c r="B101" s="1084"/>
      <c r="C101" s="1109" t="s">
        <v>718</v>
      </c>
      <c r="D101" s="1086"/>
      <c r="E101" s="1086"/>
      <c r="F101" s="1086"/>
      <c r="G101" s="1086"/>
      <c r="H101" s="1086"/>
      <c r="I101" s="1086"/>
      <c r="J101" s="1086"/>
      <c r="K101" s="1086"/>
      <c r="L101" s="1086"/>
      <c r="M101" s="1086"/>
      <c r="N101" s="1086"/>
      <c r="O101" s="1086"/>
      <c r="P101" s="1086"/>
      <c r="Q101" s="1087"/>
      <c r="T101" s="263"/>
      <c r="AC101" s="261"/>
    </row>
    <row r="102" spans="2:41" ht="12.75" customHeight="1" x14ac:dyDescent="0.25">
      <c r="B102" s="1089"/>
      <c r="C102" s="1090"/>
      <c r="D102" s="1090"/>
      <c r="E102" s="1091" t="s">
        <v>704</v>
      </c>
      <c r="F102" s="1091" t="s">
        <v>719</v>
      </c>
      <c r="G102" s="1253" t="s">
        <v>720</v>
      </c>
      <c r="H102" s="1253" t="s">
        <v>721</v>
      </c>
      <c r="I102" s="1093" t="s">
        <v>722</v>
      </c>
      <c r="J102" s="1090"/>
      <c r="K102" s="1090"/>
      <c r="L102" s="1090"/>
      <c r="M102" s="1090"/>
      <c r="N102" s="1090"/>
      <c r="O102" s="1091"/>
      <c r="P102" s="1090"/>
      <c r="Q102" s="1094"/>
      <c r="T102" s="263"/>
      <c r="AC102" s="261"/>
    </row>
    <row r="103" spans="2:41" ht="12.75" customHeight="1" x14ac:dyDescent="0.25">
      <c r="B103" s="1192"/>
      <c r="C103" s="1193"/>
      <c r="D103" s="1193"/>
      <c r="E103" s="1193"/>
      <c r="F103" s="1193"/>
      <c r="G103" s="1193"/>
      <c r="H103" s="1193"/>
      <c r="I103" s="1193"/>
      <c r="J103" s="1193"/>
      <c r="K103" s="1193"/>
      <c r="L103" s="1193"/>
      <c r="M103" s="1193"/>
      <c r="N103" s="1193"/>
      <c r="O103" s="1193"/>
      <c r="P103" s="1193"/>
      <c r="Q103" s="1195"/>
      <c r="T103" s="1299" t="s">
        <v>723</v>
      </c>
      <c r="U103" s="1299" t="s">
        <v>724</v>
      </c>
      <c r="V103" s="1299" t="s">
        <v>722</v>
      </c>
      <c r="W103" s="1299" t="s">
        <v>706</v>
      </c>
      <c r="X103" s="1299" t="s">
        <v>711</v>
      </c>
      <c r="AC103" s="261"/>
    </row>
    <row r="104" spans="2:41" ht="12.75" customHeight="1" x14ac:dyDescent="0.25">
      <c r="B104" s="36"/>
      <c r="C104" s="37" t="s">
        <v>726</v>
      </c>
      <c r="D104" s="37"/>
      <c r="E104" s="1451"/>
      <c r="F104" s="1452"/>
      <c r="G104" s="1453"/>
      <c r="H104" s="1454"/>
      <c r="I104" s="1455"/>
      <c r="J104" s="37"/>
      <c r="K104" s="37"/>
      <c r="L104" s="37"/>
      <c r="M104" s="37"/>
      <c r="N104" s="37"/>
      <c r="O104" s="37"/>
      <c r="P104" s="37"/>
      <c r="Q104" s="38"/>
      <c r="T104" s="920">
        <f>F104</f>
        <v>0</v>
      </c>
      <c r="U104" s="921" t="e" cm="1">
        <f t="array" ref="U104">_xlfn.IFS($E104='Hidden Lists and Summaries'!$B$146,$G104)</f>
        <v>#N/A</v>
      </c>
      <c r="V104" s="921">
        <f>$I104</f>
        <v>0</v>
      </c>
      <c r="W104" s="921">
        <f>$H104</f>
        <v>0</v>
      </c>
      <c r="X104" s="922" cm="1">
        <f t="array" ref="X104">_xlfn.IFS($E104='Hidden Lists and Summaries'!$B$146,$T104-$U104,$E104='Hidden Lists and Summaries'!$B$147,$T104*$V104*$W104,TRUE,0)</f>
        <v>0</v>
      </c>
      <c r="Y104" s="322"/>
      <c r="Z104" s="322"/>
      <c r="AA104" s="322"/>
      <c r="AB104" s="322"/>
      <c r="AC104" s="924"/>
    </row>
    <row r="105" spans="2:41" ht="12.75" customHeight="1" x14ac:dyDescent="0.25">
      <c r="B105" s="39"/>
      <c r="C105" s="1375"/>
      <c r="D105" s="1375"/>
      <c r="E105" s="1375"/>
      <c r="F105" s="1375"/>
      <c r="G105" s="1375"/>
      <c r="H105" s="1375"/>
      <c r="I105" s="1375"/>
      <c r="J105" s="1375"/>
      <c r="K105" s="1375"/>
      <c r="L105" s="1375"/>
      <c r="M105" s="1375"/>
      <c r="N105" s="1375"/>
      <c r="O105" s="1375"/>
      <c r="P105" s="1375"/>
      <c r="Q105" s="40"/>
    </row>
    <row r="110" spans="2:41" ht="12.75" customHeight="1" x14ac:dyDescent="0.3">
      <c r="F110" s="228" t="s">
        <v>727</v>
      </c>
      <c r="G110" t="s">
        <v>728</v>
      </c>
      <c r="H110" s="227" t="s">
        <v>729</v>
      </c>
      <c r="I110" t="s">
        <v>81</v>
      </c>
    </row>
    <row r="111" spans="2:41" ht="12.75" customHeight="1" x14ac:dyDescent="0.3">
      <c r="F111" s="1408" t="s">
        <v>389</v>
      </c>
      <c r="G111" s="790" t="s">
        <v>257</v>
      </c>
      <c r="H111" s="1382">
        <f>P22+P32+P50</f>
        <v>0</v>
      </c>
      <c r="I111" s="790" t="s">
        <v>730</v>
      </c>
    </row>
    <row r="112" spans="2:41" ht="12.75" customHeight="1" x14ac:dyDescent="0.25">
      <c r="G112" t="s">
        <v>665</v>
      </c>
      <c r="H112" s="227">
        <f>O22+O32+O50</f>
        <v>0</v>
      </c>
      <c r="I112" t="s">
        <v>730</v>
      </c>
    </row>
    <row r="113" spans="6:9" ht="12.75" customHeight="1" x14ac:dyDescent="0.25">
      <c r="G113" t="s">
        <v>731</v>
      </c>
      <c r="H113" s="227">
        <f>P42</f>
        <v>0</v>
      </c>
      <c r="I113" t="s">
        <v>730</v>
      </c>
    </row>
    <row r="114" spans="6:9" ht="12.75" customHeight="1" x14ac:dyDescent="0.25">
      <c r="G114" t="s">
        <v>732</v>
      </c>
      <c r="H114" s="227">
        <f>O42</f>
        <v>0</v>
      </c>
      <c r="I114" t="s">
        <v>730</v>
      </c>
    </row>
    <row r="115" spans="6:9" ht="12.75" customHeight="1" x14ac:dyDescent="0.3">
      <c r="G115" s="228" t="s">
        <v>733</v>
      </c>
      <c r="H115" s="227">
        <f>SUM(H113:H114)</f>
        <v>0</v>
      </c>
      <c r="I115" t="s">
        <v>730</v>
      </c>
    </row>
    <row r="116" spans="6:9" ht="12.75" customHeight="1" x14ac:dyDescent="0.3">
      <c r="G116" s="228" t="s">
        <v>734</v>
      </c>
      <c r="H116" s="227">
        <f>H112+H111-H115</f>
        <v>0</v>
      </c>
      <c r="I116" t="s">
        <v>730</v>
      </c>
    </row>
    <row r="117" spans="6:9" ht="12.75" customHeight="1" x14ac:dyDescent="0.3">
      <c r="F117" s="228" t="s">
        <v>390</v>
      </c>
      <c r="G117" t="s">
        <v>257</v>
      </c>
      <c r="H117" s="227">
        <f>N98+O85</f>
        <v>0</v>
      </c>
      <c r="I117" t="s">
        <v>730</v>
      </c>
    </row>
    <row r="118" spans="6:9" ht="12.75" customHeight="1" x14ac:dyDescent="0.25">
      <c r="G118" t="s">
        <v>259</v>
      </c>
      <c r="H118" s="227">
        <f>O98+O86</f>
        <v>0</v>
      </c>
      <c r="I118" t="s">
        <v>730</v>
      </c>
    </row>
    <row r="119" spans="6:9" ht="12.75" customHeight="1" x14ac:dyDescent="0.25">
      <c r="G119" t="s">
        <v>240</v>
      </c>
      <c r="H119" s="227">
        <f>O84</f>
        <v>0</v>
      </c>
      <c r="I119" t="s">
        <v>730</v>
      </c>
    </row>
    <row r="120" spans="6:9" ht="12.75" customHeight="1" x14ac:dyDescent="0.3">
      <c r="G120" s="228" t="s">
        <v>735</v>
      </c>
      <c r="H120" s="227">
        <f>SUM(H117:H119)</f>
        <v>0</v>
      </c>
      <c r="I120" t="s">
        <v>730</v>
      </c>
    </row>
    <row r="121" spans="6:9" ht="12.75" customHeight="1" x14ac:dyDescent="0.3">
      <c r="F121" s="228" t="s">
        <v>736</v>
      </c>
      <c r="G121" t="s">
        <v>737</v>
      </c>
      <c r="H121">
        <f>SUM(X64:X67) *1000</f>
        <v>0</v>
      </c>
      <c r="I121" t="s">
        <v>90</v>
      </c>
    </row>
    <row r="122" spans="6:9" ht="12.75" customHeight="1" x14ac:dyDescent="0.3">
      <c r="F122" s="228"/>
      <c r="G122" t="s">
        <v>738</v>
      </c>
      <c r="H122">
        <f>SUM(Y74:Y75)*1000</f>
        <v>0</v>
      </c>
      <c r="I122" t="s">
        <v>90</v>
      </c>
    </row>
    <row r="123" spans="6:9" ht="12.75" customHeight="1" x14ac:dyDescent="0.25">
      <c r="G123" t="s">
        <v>739</v>
      </c>
      <c r="H123">
        <f>X104*1000</f>
        <v>0</v>
      </c>
      <c r="I123" t="s">
        <v>90</v>
      </c>
    </row>
    <row r="124" spans="6:9" ht="12.75" customHeight="1" x14ac:dyDescent="0.3">
      <c r="G124" s="228" t="s">
        <v>393</v>
      </c>
      <c r="H124">
        <f>SUM(H121:H123)</f>
        <v>0</v>
      </c>
      <c r="I124" t="s">
        <v>90</v>
      </c>
    </row>
    <row r="125" spans="6:9" ht="12.75" customHeight="1" x14ac:dyDescent="0.3">
      <c r="F125" s="228" t="s">
        <v>740</v>
      </c>
      <c r="G125" t="s">
        <v>741</v>
      </c>
      <c r="H125" s="227" t="str">
        <f>IF(F8="","Dedicated pipeline",F8)</f>
        <v>Dedicated pipeline</v>
      </c>
    </row>
    <row r="126" spans="6:9" ht="12.75" customHeight="1" x14ac:dyDescent="0.25">
      <c r="G126" t="s">
        <v>742</v>
      </c>
      <c r="H126" s="227">
        <f>IF(F8="",E48,G18)</f>
        <v>0</v>
      </c>
      <c r="I126" t="s">
        <v>743</v>
      </c>
    </row>
    <row r="127" spans="6:9" ht="12.75" customHeight="1" x14ac:dyDescent="0.25">
      <c r="G127" t="s">
        <v>744</v>
      </c>
      <c r="H127">
        <f>I104</f>
        <v>0</v>
      </c>
      <c r="I127" t="s">
        <v>745</v>
      </c>
    </row>
    <row r="128" spans="6:9" ht="12.75" customHeight="1" x14ac:dyDescent="0.25">
      <c r="H128" s="227"/>
    </row>
  </sheetData>
  <dataConsolidate/>
  <mergeCells count="5">
    <mergeCell ref="H89:J89"/>
    <mergeCell ref="I90:I91"/>
    <mergeCell ref="J90:J91"/>
    <mergeCell ref="K90:K91"/>
    <mergeCell ref="B3:Q3"/>
  </mergeCells>
  <conditionalFormatting sqref="E18:H21">
    <cfRule type="expression" dxfId="43" priority="215">
      <formula>$Y18=FALSE</formula>
    </cfRule>
  </conditionalFormatting>
  <conditionalFormatting sqref="E38:I41">
    <cfRule type="expression" dxfId="42" priority="214">
      <formula>$AC38=FALSE</formula>
    </cfRule>
  </conditionalFormatting>
  <conditionalFormatting sqref="E28:J31 E56:H57">
    <cfRule type="expression" dxfId="41" priority="211">
      <formula>$AA28=FALSE</formula>
    </cfRule>
  </conditionalFormatting>
  <conditionalFormatting sqref="G38:G41">
    <cfRule type="expression" dxfId="38" priority="212">
      <formula>$AA38=TRUE</formula>
    </cfRule>
  </conditionalFormatting>
  <conditionalFormatting sqref="H9:H12">
    <cfRule type="expression" dxfId="35" priority="1">
      <formula>$X9=FALSE</formula>
    </cfRule>
  </conditionalFormatting>
  <conditionalFormatting sqref="H93:H97">
    <cfRule type="expression" dxfId="33" priority="216">
      <formula>AND(NOT(ISNUMBER(W93)),$F93&lt;&gt;"")</formula>
    </cfRule>
  </conditionalFormatting>
  <conditionalFormatting sqref="I38:I41">
    <cfRule type="expression" dxfId="31" priority="213">
      <formula>$AB38=TRUE</formula>
    </cfRule>
  </conditionalFormatting>
  <conditionalFormatting sqref="K93:K97">
    <cfRule type="expression" dxfId="29" priority="219">
      <formula>AND(NOT(ISNUMBER($V93)),$F93&lt;&gt;"")</formula>
    </cfRule>
  </conditionalFormatting>
  <dataValidations count="19">
    <dataValidation type="list" allowBlank="1" showInputMessage="1" showErrorMessage="1" sqref="E8:E12" xr:uid="{8A1D014C-7D54-4259-9927-1B5071820441}">
      <formula1>Transport_Emissions_Estimation_Methods_List</formula1>
    </dataValidation>
    <dataValidation type="list" allowBlank="1" showInputMessage="1" showErrorMessage="1" sqref="E18:E21" xr:uid="{F42F8C15-27E1-495A-84F5-0ED30E6B5F1F}">
      <formula1>Fuel_Consumption_Measurement_Type_List</formula1>
    </dataValidation>
    <dataValidation type="list" allowBlank="1" showInputMessage="1" showErrorMessage="1" sqref="E28:E31" xr:uid="{7166B245-0010-43AD-9416-61947B9C2869}">
      <formula1>Load_Distance_Measure_Type_List</formula1>
    </dataValidation>
    <dataValidation type="list" allowBlank="1" showInputMessage="1" showErrorMessage="1" sqref="G8:G12" xr:uid="{DC649D5D-39DA-49A3-B014-1A90DD4AC2FE}">
      <formula1>Transport_fuel_options_list</formula1>
    </dataValidation>
    <dataValidation type="list" allowBlank="1" showInputMessage="1" showErrorMessage="1" sqref="H9:H12" xr:uid="{B63A4093-8A17-4FCD-8678-A80865099848}">
      <formula1>heavy_vehicle_design_standards_options</formula1>
    </dataValidation>
    <dataValidation type="list" allowBlank="1" showInputMessage="1" showErrorMessage="1" sqref="F8:F12" xr:uid="{3B50BFE1-030C-4173-959D-A3931A0E245A}">
      <formula1>Transport_Vehicle_Types_List</formula1>
    </dataValidation>
    <dataValidation type="list" allowBlank="1" showInputMessage="1" showErrorMessage="1" sqref="E56:E57 E38:E41" xr:uid="{A030549A-CD99-48B1-9268-3107760F6D09}">
      <formula1>Transport_Route_Types_List</formula1>
    </dataValidation>
    <dataValidation type="list" allowBlank="1" showInputMessage="1" showErrorMessage="1" sqref="E64:E67 E104 E74:E75" xr:uid="{552E49D3-F58F-411F-80FC-959006326555}">
      <formula1>Loss_Correction_Method_Options_List</formula1>
    </dataValidation>
    <dataValidation type="decimal" operator="greaterThanOrEqual" allowBlank="1" showInputMessage="1" showErrorMessage="1" error="Value must be greater than or equal to zero." prompt="Input total quantity of onsite electricity generated via fuel combustion allocated to this process. Value must be less than or equal to the total input into 'Electricity Usage' tab." sqref="E86" xr:uid="{6E810093-A404-4F64-BD32-071D0AFF9E8E}">
      <formula1>0</formula1>
    </dataValidation>
    <dataValidation type="decimal" operator="greaterThanOrEqual" allowBlank="1" showInputMessage="1" showErrorMessage="1" error="Value must be greater than or equal to zero." prompt="Input total quantity of grid electricity allocated to this process. Value must be less than or equal to the total grid electricity input into 'Electricity Usage' tab." sqref="E85" xr:uid="{A7310BEE-B41C-42EE-A764-E61D3A3BB0C7}">
      <formula1>0</formula1>
    </dataValidation>
    <dataValidation type="decimal" operator="greaterThanOrEqual" allowBlank="1" showInputMessage="1" showErrorMessage="1" error="Value must be greater than or equal to zero." prompt="Input total quantity of renewable electricity allocated to this process. Value must be less than or equal to the total renewable electricity input into 'Electricity Usage' tab." sqref="E83" xr:uid="{9F27B057-0F78-4D18-8150-5468E6D60DB1}">
      <formula1>0</formula1>
    </dataValidation>
    <dataValidation type="decimal" operator="greaterThanOrEqual" allowBlank="1" showInputMessage="1" showErrorMessage="1" error="Value must be greater than or equal to zero." prompt="Input total electricity consumption allocated to this process from all electricity sources" sqref="E82" xr:uid="{6C70DCA3-03BF-4313-9BA3-5CA499EB7BBA}">
      <formula1>0</formula1>
    </dataValidation>
    <dataValidation allowBlank="1" showDropDown="1" showInputMessage="1" showErrorMessage="1" prompt="Includes renewables from both onsite generation and purchased REC's" sqref="C83" xr:uid="{1BD846B6-5A38-4148-A603-6DF6A0E773DD}"/>
    <dataValidation allowBlank="1" showDropDown="1" showInputMessage="1" showErrorMessage="1" sqref="Z86 C86 Y82:Y85 C82" xr:uid="{C4565E17-9E1E-45E1-8C4B-0528B18803EE}"/>
    <dataValidation type="decimal" operator="greaterThanOrEqual" allowBlank="1" showInputMessage="1" showErrorMessage="1" prompt="If no bespoke factor is entered a default will be selected._x000a__x000a_Note no defaults exist for some fuels. Cell will appear red if no default exists_x000a_" sqref="K93:K97" xr:uid="{473843AA-F761-48CF-A128-F14210CBE3DD}">
      <formula1>0</formula1>
    </dataValidation>
    <dataValidation type="decimal" operator="greaterThan" allowBlank="1" showInputMessage="1" showErrorMessage="1" prompt="If no bespoke factor entered, a default will be selected." sqref="I93:J97" xr:uid="{0DFFF9F8-9CE7-4F09-B70D-FC1DDDAA8438}">
      <formula1>0</formula1>
    </dataValidation>
    <dataValidation type="decimal" operator="greaterThanOrEqual" allowBlank="1" showInputMessage="1" showErrorMessage="1" sqref="G93:G97" xr:uid="{6F60C17B-005D-4118-B764-35B6F4CC2178}">
      <formula1>0</formula1>
    </dataValidation>
    <dataValidation type="decimal" operator="greaterThanOrEqual" allowBlank="1" showInputMessage="1" showErrorMessage="1" prompt="Leave blank to use a default value" sqref="I8:K11 H18:H21 H28:H31" xr:uid="{D3116E87-9BCE-401C-9498-426523B23660}">
      <formula1>0</formula1>
    </dataValidation>
    <dataValidation type="list" allowBlank="1" showDropDown="1" showInputMessage="1" showErrorMessage="1" sqref="F82:F83 F85:F86" xr:uid="{4885D2DF-F50F-4C82-B9AD-AA8421596FF5}">
      <formula1>Energy_Units_Options</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321" id="{AC292260-2576-4F67-A8AD-F93693C05042}">
            <xm:f>$E18='Hidden Lists and Summaries'!$B$83</xm:f>
            <x14:dxf>
              <fill>
                <patternFill patternType="lightUp">
                  <bgColor rgb="FFE6E7E8"/>
                </patternFill>
              </fill>
            </x14:dxf>
          </x14:cfRule>
          <xm:sqref>F18:F21</xm:sqref>
        </x14:conditionalFormatting>
        <x14:conditionalFormatting xmlns:xm="http://schemas.microsoft.com/office/excel/2006/main">
          <x14:cfRule type="expression" priority="338" id="{4C4D0533-E418-437A-89BB-0D8B48C23EF7}">
            <xm:f>$E64='Hidden Lists and Summaries'!$B$147</xm:f>
            <x14:dxf>
              <fill>
                <patternFill patternType="lightUp">
                  <bgColor rgb="FFE6E7E8"/>
                </patternFill>
              </fill>
            </x14:dxf>
          </x14:cfRule>
          <xm:sqref>F64:F67 F74:F75</xm:sqref>
        </x14:conditionalFormatting>
        <x14:conditionalFormatting xmlns:xm="http://schemas.microsoft.com/office/excel/2006/main">
          <x14:cfRule type="expression" priority="320" id="{92796A91-572F-4F6B-B7AB-005EE4C0E5D0}">
            <xm:f>$E18='Hidden Lists and Summaries'!$B$82</xm:f>
            <x14:dxf>
              <fill>
                <patternFill patternType="lightUp">
                  <bgColor rgb="FFE6E7E8"/>
                </patternFill>
              </fill>
            </x14:dxf>
          </x14:cfRule>
          <xm:sqref>G18:H21</xm:sqref>
        </x14:conditionalFormatting>
        <x14:conditionalFormatting xmlns:xm="http://schemas.microsoft.com/office/excel/2006/main">
          <x14:cfRule type="expression" priority="336" id="{1A5F4EF0-C224-4236-93EA-627FFD9C5434}">
            <xm:f>$E64='Hidden Lists and Summaries'!$B$146</xm:f>
            <x14:dxf>
              <fill>
                <patternFill patternType="lightUp">
                  <bgColor rgb="FFE6E7E8"/>
                </patternFill>
              </fill>
            </x14:dxf>
          </x14:cfRule>
          <xm:sqref>G64:H67 G74:H75</xm:sqref>
        </x14:conditionalFormatting>
        <x14:conditionalFormatting xmlns:xm="http://schemas.microsoft.com/office/excel/2006/main">
          <x14:cfRule type="expression" priority="318" id="{EA5E2A71-7272-4162-805D-51B97984B154}">
            <xm:f>$E28='Hidden Lists and Summaries'!$B$87</xm:f>
            <x14:dxf>
              <fill>
                <patternFill patternType="lightUp">
                  <bgColor rgb="FFE6E7E8"/>
                </patternFill>
              </fill>
            </x14:dxf>
          </x14:cfRule>
          <xm:sqref>H28:H31</xm:sqref>
        </x14:conditionalFormatting>
        <x14:conditionalFormatting xmlns:xm="http://schemas.microsoft.com/office/excel/2006/main">
          <x14:cfRule type="expression" priority="335" stopIfTrue="1" id="{FB272BDA-A8AA-43F2-8B2C-5AEE0151C9E0}">
            <xm:f>$E38='Hidden Lists and Summaries'!$B$142</xm:f>
            <x14:dxf>
              <fill>
                <patternFill patternType="lightUp">
                  <bgColor rgb="FFE6E7E8"/>
                </patternFill>
              </fill>
              <border>
                <vertical/>
                <horizontal/>
              </border>
            </x14:dxf>
          </x14:cfRule>
          <xm:sqref>H38:I41</xm:sqref>
        </x14:conditionalFormatting>
        <x14:conditionalFormatting xmlns:xm="http://schemas.microsoft.com/office/excel/2006/main">
          <x14:cfRule type="expression" priority="319" id="{F63385F3-5FC1-42E3-92F2-CB30EA6A9ABB}">
            <xm:f>$E28='Hidden Lists and Summaries'!$B$86</xm:f>
            <x14:dxf>
              <fill>
                <patternFill patternType="lightUp">
                  <bgColor rgb="FFE6E7E8"/>
                </patternFill>
              </fill>
            </x14:dxf>
          </x14:cfRule>
          <xm:sqref>I28:J31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6F5B6CC4-1202-4789-BD30-C8A1E0518E7E}">
          <x14:formula1>
            <xm:f>'Key Values'!$B$35:$B$37</xm:f>
          </x14:formula1>
          <xm:sqref>E93:E97</xm:sqref>
        </x14:dataValidation>
        <x14:dataValidation type="list" allowBlank="1" showInputMessage="1" showErrorMessage="1" xr:uid="{89B6B036-2428-494F-9832-C7ACDD44FBD2}">
          <x14:formula1>
            <xm:f>IF(E93="Solid Fuel", 'Key Values'!$B$41:$B$58,IF(E93="Gaseous Fuel",'Key Values'!$B$72:$B$85,'Key Values'!$B$101:$B$120))</xm:f>
          </x14:formula1>
          <xm:sqref>F93:F97</xm:sqref>
        </x14:dataValidation>
        <x14:dataValidation type="list" allowBlank="1" showInputMessage="1" showErrorMessage="1" prompt="Cell will appear red if incompatible unit is selected" xr:uid="{C4815304-E7A5-4682-A4E6-C6C62E170CEC}">
          <x14:formula1>
            <xm:f>IF(OR(AND(E93="Liquid Fuel", _xlfn.IFNA(VLOOKUP(F93,'Key Values'!$B$101:$H$120,3,FALSE)="GJ/t", FALSE) ),E93="Solid Fuel"),'Key Values'!$B$291:$B$292, 'Key Values'!$B$296:$B$298)</xm:f>
          </x14:formula1>
          <xm:sqref>H93:H97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0224C-F3D3-4397-B0F6-29DB744FC186}">
  <sheetPr>
    <tabColor theme="5" tint="-0.249977111117893"/>
  </sheetPr>
  <dimension ref="A1:O163"/>
  <sheetViews>
    <sheetView showGridLines="0" showZeros="0" workbookViewId="0">
      <selection activeCell="C47" sqref="C47"/>
    </sheetView>
  </sheetViews>
  <sheetFormatPr defaultColWidth="9.1796875" defaultRowHeight="12.5" zeroHeight="1" x14ac:dyDescent="0.25"/>
  <cols>
    <col min="1" max="2" width="9.1796875" customWidth="1"/>
    <col min="3" max="3" width="67.453125" bestFit="1" customWidth="1"/>
    <col min="4" max="4" width="30.54296875" bestFit="1" customWidth="1"/>
    <col min="5" max="5" width="24.81640625" bestFit="1" customWidth="1"/>
    <col min="6" max="6" width="28.54296875" bestFit="1" customWidth="1"/>
    <col min="7" max="7" width="9" customWidth="1"/>
    <col min="8" max="11" width="9.1796875" customWidth="1"/>
    <col min="12" max="12" width="60.1796875" customWidth="1"/>
    <col min="13" max="13" width="9.1796875" customWidth="1"/>
    <col min="14" max="14" width="22" customWidth="1"/>
    <col min="15" max="15" width="37.54296875" customWidth="1"/>
  </cols>
  <sheetData>
    <row r="1" spans="2:15" ht="156" customHeight="1" x14ac:dyDescent="0.25"/>
    <row r="2" spans="2:15" ht="33" customHeight="1" x14ac:dyDescent="0.25">
      <c r="B2" s="1911" t="s">
        <v>746</v>
      </c>
      <c r="C2" s="1911"/>
      <c r="D2" s="1911"/>
      <c r="E2" s="1911"/>
      <c r="F2" s="1911"/>
      <c r="G2" s="1911"/>
    </row>
    <row r="3" spans="2:15" ht="15.5" x14ac:dyDescent="0.25">
      <c r="B3" s="115"/>
      <c r="C3" s="116"/>
      <c r="D3" s="625"/>
      <c r="E3" s="625"/>
      <c r="F3" s="626"/>
      <c r="G3" s="117"/>
      <c r="L3" s="73" t="s">
        <v>747</v>
      </c>
    </row>
    <row r="4" spans="2:15" ht="15.5" x14ac:dyDescent="0.25">
      <c r="B4" s="118"/>
      <c r="C4" s="119" t="s">
        <v>30</v>
      </c>
      <c r="D4" s="627"/>
      <c r="E4" s="627"/>
      <c r="F4" s="628"/>
      <c r="G4" s="120"/>
      <c r="L4" t="e">
        <f>VLOOKUP(iq_downstreamProcess,N4:O6,2,FALSE) &amp; "[[Reporting Item]:[Value3]]"</f>
        <v>#N/A</v>
      </c>
      <c r="N4" t="str" cm="1">
        <f t="array" ref="N4:N6">Table45[Downstream Pathways]</f>
        <v>Ammonia Cracking</v>
      </c>
      <c r="O4" t="s">
        <v>944</v>
      </c>
    </row>
    <row r="5" spans="2:15" ht="15.5" x14ac:dyDescent="0.25">
      <c r="B5" s="179"/>
      <c r="C5" s="180"/>
      <c r="D5" s="181"/>
      <c r="E5" s="181"/>
      <c r="F5" s="620"/>
      <c r="G5" s="183"/>
      <c r="N5" t="str">
        <v>LOHC - Dehydrogenation</v>
      </c>
      <c r="O5" t="s">
        <v>945</v>
      </c>
    </row>
    <row r="6" spans="2:15" ht="15.5" x14ac:dyDescent="0.25">
      <c r="B6" s="46"/>
      <c r="C6" s="47"/>
      <c r="D6" s="75"/>
      <c r="E6" s="75"/>
      <c r="F6" s="629"/>
      <c r="G6" s="49"/>
      <c r="N6" t="str">
        <v>N/A</v>
      </c>
    </row>
    <row r="7" spans="2:15" ht="13" x14ac:dyDescent="0.25">
      <c r="B7" s="46"/>
      <c r="C7" s="156" t="s">
        <v>401</v>
      </c>
      <c r="D7" s="778"/>
      <c r="E7" s="656" t="str">
        <f ca="1">IFERROR(IF($C7&lt;&gt;"",VLOOKUP($C7,INDIRECT($L$4),3,FALSE),""),"")</f>
        <v/>
      </c>
      <c r="F7" s="657" t="str">
        <f ca="1">IFERROR(IF($C7&lt;&gt;"",VLOOKUP($C7,INDIRECT($L$4),4,FALSE),""),"")</f>
        <v/>
      </c>
      <c r="G7" s="49"/>
    </row>
    <row r="8" spans="2:15" ht="13" x14ac:dyDescent="0.25">
      <c r="B8" s="46"/>
      <c r="C8" s="156" t="s">
        <v>402</v>
      </c>
      <c r="D8" s="779"/>
      <c r="E8" s="658" t="str">
        <f ca="1">IFERROR(IF($C8&lt;&gt;"",VLOOKUP($C8,INDIRECT($L$4),3,FALSE),""),"")</f>
        <v/>
      </c>
      <c r="F8" s="659" t="str">
        <f ca="1">IFERROR(IF($C8&lt;&gt;"",VLOOKUP($C8,INDIRECT($L$4),4,FALSE),""),"")</f>
        <v/>
      </c>
      <c r="G8" s="49"/>
    </row>
    <row r="9" spans="2:15" ht="13" x14ac:dyDescent="0.25">
      <c r="B9" s="46"/>
      <c r="C9" s="156" t="s">
        <v>403</v>
      </c>
      <c r="D9" s="779"/>
      <c r="E9" s="658" t="str">
        <f ca="1">IFERROR(IF($C9&lt;&gt;"",VLOOKUP($C9,INDIRECT($L$4),3,FALSE),""),"")</f>
        <v/>
      </c>
      <c r="F9" s="659" t="str">
        <f ca="1">IFERROR(IF($C9&lt;&gt;"",VLOOKUP($C9,INDIRECT($L$4),4,FALSE),""),"")</f>
        <v/>
      </c>
      <c r="G9" s="49"/>
    </row>
    <row r="10" spans="2:15" ht="13" x14ac:dyDescent="0.25">
      <c r="B10" s="53"/>
      <c r="C10" s="89" t="s">
        <v>405</v>
      </c>
      <c r="D10" s="582"/>
      <c r="E10" s="694" t="str">
        <f ca="1">IFERROR(IF($C10&lt;&gt;"",VLOOKUP($C10,INDIRECT($L$4),3,FALSE),""),"")</f>
        <v/>
      </c>
      <c r="F10" s="676" t="str">
        <f ca="1">IFERROR(IF($C10&lt;&gt;"",VLOOKUP($C10,INDIRECT($L$4),4,FALSE),""),"")</f>
        <v/>
      </c>
      <c r="G10" s="55"/>
    </row>
    <row r="11" spans="2:15" ht="15.5" x14ac:dyDescent="0.25">
      <c r="B11" s="43"/>
      <c r="C11" s="43"/>
      <c r="D11" s="43"/>
      <c r="E11" s="43"/>
      <c r="F11" s="43"/>
      <c r="G11" s="43"/>
    </row>
    <row r="12" spans="2:15" x14ac:dyDescent="0.25">
      <c r="B12" s="187"/>
      <c r="C12" s="188"/>
      <c r="D12" s="188"/>
      <c r="E12" s="188"/>
      <c r="F12" s="188"/>
      <c r="G12" s="189"/>
    </row>
    <row r="13" spans="2:15" ht="15.5" x14ac:dyDescent="0.35">
      <c r="B13" s="190"/>
      <c r="C13" s="254" t="s">
        <v>946</v>
      </c>
      <c r="D13" s="234"/>
      <c r="E13" s="234"/>
      <c r="F13" s="234"/>
      <c r="G13" s="191"/>
    </row>
    <row r="14" spans="2:15" x14ac:dyDescent="0.25">
      <c r="B14" s="192"/>
      <c r="C14" s="193"/>
      <c r="D14" s="193"/>
      <c r="E14" s="193"/>
      <c r="F14" s="193"/>
      <c r="G14" s="194"/>
    </row>
    <row r="15" spans="2:15" x14ac:dyDescent="0.25">
      <c r="B15" s="251"/>
      <c r="C15" s="252"/>
      <c r="D15" s="252"/>
      <c r="E15" s="252"/>
      <c r="F15" s="252"/>
      <c r="G15" s="253"/>
    </row>
    <row r="16" spans="2:15" ht="13" x14ac:dyDescent="0.3">
      <c r="B16" s="36"/>
      <c r="C16" s="264" t="s">
        <v>407</v>
      </c>
      <c r="D16" s="664" t="str">
        <f ca="1">IFERROR(IF($C16&lt;&gt;"",VLOOKUP($C16,INDIRECT($L$4),2,FALSE),""),"")</f>
        <v/>
      </c>
      <c r="E16" s="777" t="str">
        <f ca="1">IFERROR(IF($C16&lt;&gt;"",VLOOKUP($C16,INDIRECT($L$4),3,FALSE),""),"")</f>
        <v/>
      </c>
      <c r="F16" s="670" t="str">
        <f ca="1">IFERROR(IF($C16&lt;&gt;"",VLOOKUP($C16,INDIRECT($L$4),4,FALSE),""),"")</f>
        <v/>
      </c>
      <c r="G16" s="38"/>
    </row>
    <row r="17" spans="1:7" ht="13" x14ac:dyDescent="0.3">
      <c r="B17" s="36"/>
      <c r="C17" s="264" t="s">
        <v>910</v>
      </c>
      <c r="D17" s="666" t="str">
        <f ca="1">IFERROR(IF($C17&lt;&gt;"",VLOOKUP($C17,INDIRECT($L$4),2,FALSE),""),"")</f>
        <v/>
      </c>
      <c r="E17" s="665" t="str">
        <f ca="1">IFERROR(IF($C17&lt;&gt;"",VLOOKUP($C17,INDIRECT($L$4),3,FALSE),""),"")</f>
        <v/>
      </c>
      <c r="F17" s="623" t="str">
        <f ca="1">IFERROR(IF($C17&lt;&gt;"",VLOOKUP($C17,INDIRECT($L$4),4,FALSE),""),"")</f>
        <v/>
      </c>
      <c r="G17" s="38"/>
    </row>
    <row r="18" spans="1:7" ht="13" x14ac:dyDescent="0.3">
      <c r="B18" s="36"/>
      <c r="C18" s="264" t="s">
        <v>188</v>
      </c>
      <c r="D18" s="666" t="str">
        <f ca="1">IFERROR(IF($C18&lt;&gt;"",VLOOKUP($C18,INDIRECT($L$4),2,FALSE),""),"")</f>
        <v/>
      </c>
      <c r="E18" s="665" t="str">
        <f ca="1">IFERROR(IF($C18&lt;&gt;"",VLOOKUP($C18,INDIRECT($L$4),3,FALSE),""),"")</f>
        <v/>
      </c>
      <c r="F18" s="623" t="str">
        <f ca="1">IFERROR(IF($C18&lt;&gt;"",VLOOKUP($C18,INDIRECT($L$4),4,FALSE),""),"")</f>
        <v/>
      </c>
      <c r="G18" s="38"/>
    </row>
    <row r="19" spans="1:7" ht="13" x14ac:dyDescent="0.3">
      <c r="B19" s="36"/>
      <c r="C19" s="885" t="s">
        <v>410</v>
      </c>
      <c r="D19" s="666" t="str">
        <f ca="1">IFERROR(IF($C19&lt;&gt;"",VLOOKUP($C19,INDIRECT($L$4),2,FALSE),""),"")</f>
        <v/>
      </c>
      <c r="E19" s="665" t="str">
        <f ca="1">IFERROR(IF($C19&lt;&gt;"",VLOOKUP($C19,INDIRECT($L$4),3,FALSE),""),"")</f>
        <v/>
      </c>
      <c r="F19" s="623" t="str">
        <f ca="1">IFERROR(IF($C19&lt;&gt;"",VLOOKUP($C19,INDIRECT($L$4),4,FALSE),""),"")</f>
        <v/>
      </c>
      <c r="G19" s="886"/>
    </row>
    <row r="20" spans="1:7" ht="13" x14ac:dyDescent="0.3">
      <c r="A20" s="261"/>
      <c r="B20" s="39"/>
      <c r="C20" s="891" t="s">
        <v>393</v>
      </c>
      <c r="D20" s="671" t="str">
        <f ca="1">IFERROR(IF($C20&lt;&gt;"",VLOOKUP($C20,INDIRECT($L$4),2,FALSE),""),"")</f>
        <v/>
      </c>
      <c r="E20" s="668" t="str">
        <f ca="1">IFERROR(IF($C20&lt;&gt;"",VLOOKUP($C20,INDIRECT($L$4),3,FALSE),""),"")</f>
        <v/>
      </c>
      <c r="F20" s="669" t="str">
        <f ca="1">IFERROR(IF($C20&lt;&gt;"",VLOOKUP($C20,INDIRECT($L$4),4,FALSE),""),"")</f>
        <v/>
      </c>
      <c r="G20" s="890"/>
    </row>
    <row r="21" spans="1:7" ht="15.5" x14ac:dyDescent="0.25">
      <c r="B21" s="43"/>
      <c r="C21" s="43"/>
      <c r="D21" s="43"/>
      <c r="E21" s="43"/>
      <c r="F21" s="43"/>
      <c r="G21" s="43"/>
    </row>
    <row r="22" spans="1:7" x14ac:dyDescent="0.25">
      <c r="B22" s="187"/>
      <c r="C22" s="188"/>
      <c r="D22" s="188"/>
      <c r="E22" s="188"/>
      <c r="F22" s="188"/>
      <c r="G22" s="189"/>
    </row>
    <row r="23" spans="1:7" ht="15.5" x14ac:dyDescent="0.35">
      <c r="B23" s="190"/>
      <c r="C23" s="254" t="s">
        <v>37</v>
      </c>
      <c r="D23" s="234"/>
      <c r="E23" s="234"/>
      <c r="F23" s="234"/>
      <c r="G23" s="191"/>
    </row>
    <row r="24" spans="1:7" x14ac:dyDescent="0.25">
      <c r="B24" s="192"/>
      <c r="C24" s="193"/>
      <c r="D24" s="193"/>
      <c r="E24" s="193"/>
      <c r="F24" s="193"/>
      <c r="G24" s="194"/>
    </row>
    <row r="25" spans="1:7" x14ac:dyDescent="0.25">
      <c r="B25" s="251"/>
      <c r="C25" s="252"/>
      <c r="D25" s="252"/>
      <c r="E25" s="252"/>
      <c r="F25" s="252"/>
      <c r="G25" s="253"/>
    </row>
    <row r="26" spans="1:7" ht="13" x14ac:dyDescent="0.3">
      <c r="B26" s="36"/>
      <c r="C26" s="264" t="s">
        <v>411</v>
      </c>
      <c r="D26" s="664" t="str">
        <f ca="1">IFERROR(IF($C26&lt;&gt;"",VLOOKUP($C26,INDIRECT($L$4),2,FALSE),""),"")</f>
        <v/>
      </c>
      <c r="E26" s="756" t="str">
        <f ca="1">IFERROR(IF($C26&lt;&gt;"",VLOOKUP($C26,INDIRECT($L$4),3,FALSE),""),"")</f>
        <v/>
      </c>
      <c r="F26" s="670" t="str">
        <f ca="1">IFERROR(IF($C26&lt;&gt;"",VLOOKUP($C26,INDIRECT($L$4),4,FALSE),""),"")</f>
        <v/>
      </c>
      <c r="G26" s="38"/>
    </row>
    <row r="27" spans="1:7" ht="13" x14ac:dyDescent="0.3">
      <c r="B27" s="36"/>
      <c r="C27" s="264" t="s">
        <v>412</v>
      </c>
      <c r="D27" s="666" t="str">
        <f ca="1">IFERROR(IF($C27&lt;&gt;"",VLOOKUP($C27,INDIRECT($L$4),2,FALSE),""),"")</f>
        <v/>
      </c>
      <c r="E27" s="757" t="str">
        <f ca="1">IFERROR(IF($C27&lt;&gt;"",VLOOKUP($C27,INDIRECT($L$4),3,FALSE),""),"")</f>
        <v/>
      </c>
      <c r="F27" s="623" t="str">
        <f ca="1">IFERROR(IF($C27&lt;&gt;"",VLOOKUP($C27,INDIRECT($L$4),4,FALSE),""),"")</f>
        <v/>
      </c>
      <c r="G27" s="38"/>
    </row>
    <row r="28" spans="1:7" ht="13" x14ac:dyDescent="0.3">
      <c r="B28" s="39"/>
      <c r="C28" s="266" t="s">
        <v>413</v>
      </c>
      <c r="D28" s="671" t="str">
        <f ca="1">IFERROR(IF($C28&lt;&gt;"",VLOOKUP($C28,INDIRECT($L$4),2,FALSE),""),"")</f>
        <v/>
      </c>
      <c r="E28" s="760" t="str">
        <f ca="1">IFERROR(IF($C28&lt;&gt;"",VLOOKUP($C28,INDIRECT($L$4),3,FALSE),""),"")</f>
        <v/>
      </c>
      <c r="F28" s="669" t="str">
        <f ca="1">IFERROR(IF($C28&lt;&gt;"",VLOOKUP($C28,INDIRECT($L$4),4,FALSE),""),"")</f>
        <v/>
      </c>
      <c r="G28" s="40"/>
    </row>
    <row r="29" spans="1:7" ht="15.5" x14ac:dyDescent="0.25">
      <c r="B29" s="70"/>
      <c r="C29" s="70"/>
      <c r="D29" s="70"/>
      <c r="E29" s="70"/>
      <c r="F29" s="70"/>
      <c r="G29" s="70"/>
    </row>
    <row r="30" spans="1:7" x14ac:dyDescent="0.25">
      <c r="B30" s="115"/>
      <c r="C30" s="116"/>
      <c r="D30" s="116"/>
      <c r="E30" s="116"/>
      <c r="F30" s="116"/>
      <c r="G30" s="117"/>
    </row>
    <row r="31" spans="1:7" ht="15.5" x14ac:dyDescent="0.25">
      <c r="B31" s="118"/>
      <c r="C31" s="119" t="s">
        <v>886</v>
      </c>
      <c r="D31" s="114"/>
      <c r="E31" s="114"/>
      <c r="F31" s="114"/>
      <c r="G31" s="120"/>
    </row>
    <row r="32" spans="1:7" ht="15.5" x14ac:dyDescent="0.25">
      <c r="B32" s="179"/>
      <c r="C32" s="180"/>
      <c r="D32" s="181"/>
      <c r="E32" s="791" t="s">
        <v>754</v>
      </c>
      <c r="F32" s="182"/>
      <c r="G32" s="183"/>
    </row>
    <row r="33" spans="2:7" x14ac:dyDescent="0.25">
      <c r="B33" s="46"/>
      <c r="C33" s="47"/>
      <c r="D33" s="47"/>
      <c r="E33" s="47"/>
      <c r="F33" s="47"/>
      <c r="G33" s="49"/>
    </row>
    <row r="34" spans="2:7" ht="13" x14ac:dyDescent="0.25">
      <c r="B34" s="46"/>
      <c r="C34" s="590" t="s">
        <v>804</v>
      </c>
      <c r="D34" s="672" t="str">
        <f t="shared" ref="D34:D39" ca="1" si="0">IFERROR(IF($C34&lt;&gt;"",VLOOKUP($C34,INDIRECT($L$4),2,FALSE),""),"")</f>
        <v/>
      </c>
      <c r="E34" s="673" t="str">
        <f t="shared" ref="E34:E41" ca="1" si="1">IFERROR(IF($C34&lt;&gt;"",VLOOKUP($C34,INDIRECT($L$4),3,FALSE),""),"")</f>
        <v/>
      </c>
      <c r="F34" s="677" t="str">
        <f t="shared" ref="F34:F41" ca="1" si="2">IFERROR(IF($C34&lt;&gt;"",VLOOKUP($C34,INDIRECT($L$4),4,FALSE),""),"")</f>
        <v/>
      </c>
      <c r="G34" s="49"/>
    </row>
    <row r="35" spans="2:7" ht="13" x14ac:dyDescent="0.25">
      <c r="B35" s="46"/>
      <c r="C35" s="590" t="s">
        <v>365</v>
      </c>
      <c r="D35" s="674" t="str">
        <f t="shared" ca="1" si="0"/>
        <v/>
      </c>
      <c r="E35" s="675" t="str">
        <f t="shared" ca="1" si="1"/>
        <v/>
      </c>
      <c r="F35" s="678" t="str">
        <f t="shared" ca="1" si="2"/>
        <v/>
      </c>
      <c r="G35" s="49"/>
    </row>
    <row r="36" spans="2:7" ht="13" x14ac:dyDescent="0.25">
      <c r="B36" s="46"/>
      <c r="C36" s="590" t="s">
        <v>366</v>
      </c>
      <c r="D36" s="674" t="str">
        <f t="shared" ca="1" si="0"/>
        <v/>
      </c>
      <c r="E36" s="675" t="str">
        <f t="shared" ca="1" si="1"/>
        <v/>
      </c>
      <c r="F36" s="678" t="str">
        <f t="shared" ca="1" si="2"/>
        <v/>
      </c>
      <c r="G36" s="49"/>
    </row>
    <row r="37" spans="2:7" ht="13" x14ac:dyDescent="0.25">
      <c r="B37" s="46"/>
      <c r="C37" s="590" t="s">
        <v>118</v>
      </c>
      <c r="D37" s="674" t="str">
        <f t="shared" ca="1" si="0"/>
        <v/>
      </c>
      <c r="E37" s="675" t="str">
        <f t="shared" ca="1" si="1"/>
        <v/>
      </c>
      <c r="F37" s="678" t="str">
        <f t="shared" ca="1" si="2"/>
        <v/>
      </c>
      <c r="G37" s="49"/>
    </row>
    <row r="38" spans="2:7" ht="13" x14ac:dyDescent="0.25">
      <c r="B38" s="46"/>
      <c r="C38" s="590" t="s">
        <v>367</v>
      </c>
      <c r="D38" s="674" t="str">
        <f t="shared" ca="1" si="0"/>
        <v/>
      </c>
      <c r="E38" s="675" t="str">
        <f t="shared" ca="1" si="1"/>
        <v/>
      </c>
      <c r="F38" s="678" t="str">
        <f t="shared" ca="1" si="2"/>
        <v/>
      </c>
      <c r="G38" s="49"/>
    </row>
    <row r="39" spans="2:7" ht="13" x14ac:dyDescent="0.25">
      <c r="B39" s="46"/>
      <c r="C39" s="590" t="s">
        <v>368</v>
      </c>
      <c r="D39" s="674" t="str">
        <f t="shared" ca="1" si="0"/>
        <v/>
      </c>
      <c r="E39" s="675" t="str">
        <f t="shared" ca="1" si="1"/>
        <v/>
      </c>
      <c r="F39" s="678" t="str">
        <f t="shared" ca="1" si="2"/>
        <v/>
      </c>
      <c r="G39" s="49"/>
    </row>
    <row r="40" spans="2:7" ht="13" x14ac:dyDescent="0.25">
      <c r="B40" s="46"/>
      <c r="C40" s="86" t="s">
        <v>370</v>
      </c>
      <c r="D40" s="682" t="s">
        <v>120</v>
      </c>
      <c r="E40" s="681" t="str">
        <f t="shared" ca="1" si="1"/>
        <v/>
      </c>
      <c r="F40" s="568" t="str">
        <f t="shared" ca="1" si="2"/>
        <v/>
      </c>
      <c r="G40" s="49"/>
    </row>
    <row r="41" spans="2:7" ht="13" x14ac:dyDescent="0.25">
      <c r="B41" s="53"/>
      <c r="C41" s="88" t="s">
        <v>371</v>
      </c>
      <c r="D41" s="679" t="str">
        <f ca="1">IFERROR(IF($C41&lt;&gt;"",VLOOKUP($C41,INDIRECT($L$4),2,FALSE),""),"")</f>
        <v/>
      </c>
      <c r="E41" s="768" t="str">
        <f t="shared" ca="1" si="1"/>
        <v/>
      </c>
      <c r="F41" s="680" t="str">
        <f t="shared" ca="1" si="2"/>
        <v/>
      </c>
      <c r="G41" s="55"/>
    </row>
    <row r="42" spans="2:7" ht="15.5" x14ac:dyDescent="0.25">
      <c r="B42" s="43"/>
      <c r="C42" s="43"/>
      <c r="D42" s="43"/>
      <c r="E42" s="43"/>
      <c r="F42" s="43"/>
      <c r="G42" s="43"/>
    </row>
    <row r="43" spans="2:7" x14ac:dyDescent="0.25">
      <c r="B43" s="115"/>
      <c r="C43" s="116"/>
      <c r="D43" s="116"/>
      <c r="E43" s="116"/>
      <c r="F43" s="116"/>
      <c r="G43" s="117"/>
    </row>
    <row r="44" spans="2:7" ht="15.5" x14ac:dyDescent="0.25">
      <c r="B44" s="118"/>
      <c r="C44" s="119" t="s">
        <v>755</v>
      </c>
      <c r="D44" s="114"/>
      <c r="E44" s="114"/>
      <c r="F44" s="114"/>
      <c r="G44" s="120"/>
    </row>
    <row r="45" spans="2:7" ht="15.5" x14ac:dyDescent="0.25">
      <c r="B45" s="179"/>
      <c r="C45" s="180"/>
      <c r="D45" s="182"/>
      <c r="E45" s="791" t="s">
        <v>754</v>
      </c>
      <c r="F45" s="182"/>
      <c r="G45" s="183"/>
    </row>
    <row r="46" spans="2:7" x14ac:dyDescent="0.25">
      <c r="B46" s="46"/>
      <c r="C46" s="47"/>
      <c r="D46" s="47"/>
      <c r="E46" s="47"/>
      <c r="F46" s="47"/>
      <c r="G46" s="49"/>
    </row>
    <row r="47" spans="2:7" ht="13" x14ac:dyDescent="0.25">
      <c r="B47" s="46"/>
      <c r="C47" s="590" t="s">
        <v>373</v>
      </c>
      <c r="D47" s="672" t="str">
        <f t="shared" ref="D47:D53" ca="1" si="3">IFERROR(IF($C47&lt;&gt;"",VLOOKUP($C47,INDIRECT($L$4),2,FALSE),""),"")</f>
        <v/>
      </c>
      <c r="E47" s="673" t="str">
        <f t="shared" ref="E47:E55" ca="1" si="4">IFERROR(IF($C47&lt;&gt;"",VLOOKUP($C47,INDIRECT($L$4),3,FALSE),""),"")</f>
        <v/>
      </c>
      <c r="F47" s="657" t="str">
        <f t="shared" ref="F47:F55" ca="1" si="5">IFERROR(IF($C47&lt;&gt;"",VLOOKUP($C47,INDIRECT($L$4),4,FALSE),""),"")</f>
        <v/>
      </c>
      <c r="G47" s="49"/>
    </row>
    <row r="48" spans="2:7" ht="13" x14ac:dyDescent="0.25">
      <c r="B48" s="46"/>
      <c r="C48" s="590" t="s">
        <v>810</v>
      </c>
      <c r="D48" s="674" t="str">
        <f t="shared" ca="1" si="3"/>
        <v/>
      </c>
      <c r="E48" s="675" t="str">
        <f t="shared" ca="1" si="4"/>
        <v/>
      </c>
      <c r="F48" s="659" t="str">
        <f t="shared" ca="1" si="5"/>
        <v/>
      </c>
      <c r="G48" s="49"/>
    </row>
    <row r="49" spans="2:8" ht="13" x14ac:dyDescent="0.25">
      <c r="B49" s="46"/>
      <c r="C49" s="590" t="s">
        <v>811</v>
      </c>
      <c r="D49" s="674" t="str">
        <f t="shared" ca="1" si="3"/>
        <v/>
      </c>
      <c r="E49" s="675" t="str">
        <f t="shared" ca="1" si="4"/>
        <v/>
      </c>
      <c r="F49" s="659" t="str">
        <f t="shared" ca="1" si="5"/>
        <v/>
      </c>
      <c r="G49" s="49"/>
    </row>
    <row r="50" spans="2:8" ht="13" x14ac:dyDescent="0.25">
      <c r="B50" s="46"/>
      <c r="C50" s="590" t="s">
        <v>909</v>
      </c>
      <c r="D50" s="674" t="str">
        <f t="shared" ca="1" si="3"/>
        <v/>
      </c>
      <c r="E50" s="675" t="str">
        <f t="shared" ca="1" si="4"/>
        <v/>
      </c>
      <c r="F50" s="659" t="str">
        <f t="shared" ca="1" si="5"/>
        <v/>
      </c>
      <c r="G50" s="49"/>
    </row>
    <row r="51" spans="2:8" ht="13" x14ac:dyDescent="0.25">
      <c r="B51" s="46"/>
      <c r="C51" s="590" t="s">
        <v>819</v>
      </c>
      <c r="D51" s="674" t="str">
        <f t="shared" ca="1" si="3"/>
        <v/>
      </c>
      <c r="E51" s="675" t="str">
        <f t="shared" ca="1" si="4"/>
        <v/>
      </c>
      <c r="F51" s="659" t="str">
        <f t="shared" ca="1" si="5"/>
        <v/>
      </c>
      <c r="G51" s="49"/>
    </row>
    <row r="52" spans="2:8" ht="13" x14ac:dyDescent="0.25">
      <c r="B52" s="46"/>
      <c r="C52" s="590" t="s">
        <v>818</v>
      </c>
      <c r="D52" s="674" t="str">
        <f t="shared" ca="1" si="3"/>
        <v/>
      </c>
      <c r="E52" s="675" t="str">
        <f t="shared" ca="1" si="4"/>
        <v/>
      </c>
      <c r="F52" s="659" t="str">
        <f t="shared" ca="1" si="5"/>
        <v/>
      </c>
      <c r="G52" s="49"/>
    </row>
    <row r="53" spans="2:8" ht="13" x14ac:dyDescent="0.25">
      <c r="B53" s="46"/>
      <c r="C53" s="590" t="s">
        <v>384</v>
      </c>
      <c r="D53" s="674" t="str">
        <f t="shared" ca="1" si="3"/>
        <v/>
      </c>
      <c r="E53" s="675" t="str">
        <f t="shared" ca="1" si="4"/>
        <v/>
      </c>
      <c r="F53" s="659" t="str">
        <f t="shared" ca="1" si="5"/>
        <v/>
      </c>
      <c r="G53" s="49"/>
    </row>
    <row r="54" spans="2:8" ht="13" x14ac:dyDescent="0.25">
      <c r="B54" s="46"/>
      <c r="C54" s="86" t="s">
        <v>386</v>
      </c>
      <c r="D54" s="682" t="s">
        <v>120</v>
      </c>
      <c r="E54" s="681" t="str">
        <f t="shared" ca="1" si="4"/>
        <v/>
      </c>
      <c r="F54" s="642" t="str">
        <f t="shared" ca="1" si="5"/>
        <v/>
      </c>
      <c r="G54" s="49"/>
    </row>
    <row r="55" spans="2:8" ht="13" x14ac:dyDescent="0.25">
      <c r="B55" s="53"/>
      <c r="C55" s="89" t="s">
        <v>388</v>
      </c>
      <c r="D55" s="644" t="str">
        <f ca="1">IFERROR(IF($C55&lt;&gt;"",VLOOKUP($C55,INDIRECT($L$4),2,FALSE),""),"")</f>
        <v/>
      </c>
      <c r="E55" s="768" t="str">
        <f t="shared" ca="1" si="4"/>
        <v/>
      </c>
      <c r="F55" s="676" t="str">
        <f t="shared" ca="1" si="5"/>
        <v/>
      </c>
      <c r="G55" s="55"/>
    </row>
    <row r="56" spans="2:8" ht="15.5" x14ac:dyDescent="0.25">
      <c r="B56" s="43"/>
      <c r="C56" s="43"/>
      <c r="D56" s="43"/>
      <c r="E56" s="43"/>
      <c r="F56" s="622"/>
      <c r="G56" s="43"/>
      <c r="H56" s="43"/>
    </row>
    <row r="57" spans="2:8" s="229" customFormat="1" x14ac:dyDescent="0.25">
      <c r="B57" s="115"/>
      <c r="C57" s="116"/>
      <c r="D57" s="116"/>
      <c r="E57" s="116"/>
      <c r="F57" s="116"/>
      <c r="G57" s="117"/>
    </row>
    <row r="58" spans="2:8" s="229" customFormat="1" ht="15.5" x14ac:dyDescent="0.25">
      <c r="B58" s="118"/>
      <c r="C58" s="119" t="s">
        <v>756</v>
      </c>
      <c r="D58" s="114"/>
      <c r="E58" s="114"/>
      <c r="F58" s="114"/>
      <c r="G58" s="120"/>
    </row>
    <row r="59" spans="2:8" s="229" customFormat="1" ht="15.5" x14ac:dyDescent="0.25">
      <c r="B59" s="179"/>
      <c r="C59" s="180"/>
      <c r="D59" s="182"/>
      <c r="E59" s="791" t="s">
        <v>754</v>
      </c>
      <c r="F59" s="182"/>
      <c r="G59" s="183"/>
    </row>
    <row r="60" spans="2:8" s="229" customFormat="1" x14ac:dyDescent="0.25">
      <c r="B60" s="46"/>
      <c r="C60" s="47"/>
      <c r="D60" s="47"/>
      <c r="E60" s="47"/>
      <c r="F60" s="47"/>
      <c r="G60" s="212"/>
    </row>
    <row r="61" spans="2:8" s="229" customFormat="1" ht="15.5" x14ac:dyDescent="0.25">
      <c r="B61" s="46"/>
      <c r="C61" s="605" t="s">
        <v>389</v>
      </c>
      <c r="D61" s="879"/>
      <c r="E61" s="730" t="str">
        <f t="shared" ref="E61:E71" ca="1" si="6">IFERROR(IF($C61&lt;&gt;"",VLOOKUP($C61,INDIRECT($L$4),3,FALSE),""),"")</f>
        <v/>
      </c>
      <c r="F61" s="601" t="str">
        <f t="shared" ref="F61:F71" ca="1" si="7">IFERROR(IF($C61&lt;&gt;"",VLOOKUP($C61,INDIRECT($L$4),4,FALSE),""),"")</f>
        <v/>
      </c>
      <c r="G61" s="49"/>
    </row>
    <row r="62" spans="2:8" s="229" customFormat="1" ht="15.5" x14ac:dyDescent="0.25">
      <c r="B62" s="46"/>
      <c r="C62" s="606" t="s">
        <v>390</v>
      </c>
      <c r="D62" s="880"/>
      <c r="E62" s="731" t="str">
        <f t="shared" ca="1" si="6"/>
        <v/>
      </c>
      <c r="F62" s="602" t="str">
        <f t="shared" ca="1" si="7"/>
        <v/>
      </c>
      <c r="G62" s="49"/>
    </row>
    <row r="63" spans="2:8" s="229" customFormat="1" ht="15.5" x14ac:dyDescent="0.25">
      <c r="B63" s="46"/>
      <c r="C63" s="63"/>
      <c r="D63" s="882"/>
      <c r="E63" s="883"/>
      <c r="F63" s="884"/>
      <c r="G63" s="49"/>
    </row>
    <row r="64" spans="2:8" s="229" customFormat="1" ht="15.5" x14ac:dyDescent="0.25">
      <c r="B64" s="46"/>
      <c r="C64" s="86" t="s">
        <v>391</v>
      </c>
      <c r="D64" s="880"/>
      <c r="E64" s="731" t="str">
        <f t="shared" ca="1" si="6"/>
        <v/>
      </c>
      <c r="F64" s="602" t="str">
        <f t="shared" ca="1" si="7"/>
        <v/>
      </c>
      <c r="G64" s="49"/>
    </row>
    <row r="65" spans="2:7" s="229" customFormat="1" ht="15.5" x14ac:dyDescent="0.25">
      <c r="B65" s="46"/>
      <c r="C65" s="86" t="s">
        <v>392</v>
      </c>
      <c r="D65" s="880"/>
      <c r="E65" s="878" t="str">
        <f t="shared" ca="1" si="6"/>
        <v/>
      </c>
      <c r="F65" s="602" t="str">
        <f t="shared" ca="1" si="7"/>
        <v/>
      </c>
      <c r="G65" s="49"/>
    </row>
    <row r="66" spans="2:7" s="229" customFormat="1" ht="15.5" x14ac:dyDescent="0.25">
      <c r="B66" s="46"/>
      <c r="C66" s="86"/>
      <c r="D66" s="880"/>
      <c r="E66" s="878"/>
      <c r="F66" s="602"/>
      <c r="G66" s="49"/>
    </row>
    <row r="67" spans="2:7" s="229" customFormat="1" ht="15.5" x14ac:dyDescent="0.25">
      <c r="B67" s="46"/>
      <c r="C67" s="86" t="s">
        <v>395</v>
      </c>
      <c r="D67" s="932"/>
      <c r="E67" s="930" t="str">
        <f t="shared" ca="1" si="6"/>
        <v/>
      </c>
      <c r="F67" s="934" t="str">
        <f t="shared" ca="1" si="7"/>
        <v/>
      </c>
      <c r="G67" s="49"/>
    </row>
    <row r="68" spans="2:7" s="229" customFormat="1" ht="15.5" x14ac:dyDescent="0.25">
      <c r="B68" s="46"/>
      <c r="C68" s="86" t="s">
        <v>397</v>
      </c>
      <c r="D68" s="880"/>
      <c r="E68" s="878" t="str">
        <f t="shared" ca="1" si="6"/>
        <v/>
      </c>
      <c r="F68" s="602" t="str">
        <f t="shared" ca="1" si="7"/>
        <v/>
      </c>
      <c r="G68" s="49"/>
    </row>
    <row r="69" spans="2:7" s="229" customFormat="1" ht="15.5" x14ac:dyDescent="0.25">
      <c r="B69" s="46"/>
      <c r="C69" s="63"/>
      <c r="D69" s="882"/>
      <c r="E69" s="883"/>
      <c r="F69" s="884"/>
      <c r="G69" s="49"/>
    </row>
    <row r="70" spans="2:7" s="229" customFormat="1" ht="15.5" x14ac:dyDescent="0.25">
      <c r="B70" s="46"/>
      <c r="C70" s="156" t="s">
        <v>399</v>
      </c>
      <c r="D70" s="880"/>
      <c r="E70" s="878" t="str">
        <f t="shared" ca="1" si="6"/>
        <v/>
      </c>
      <c r="F70" s="602" t="str">
        <f t="shared" ca="1" si="7"/>
        <v/>
      </c>
      <c r="G70" s="49"/>
    </row>
    <row r="71" spans="2:7" s="229" customFormat="1" ht="15.5" x14ac:dyDescent="0.25">
      <c r="B71" s="53"/>
      <c r="C71" s="89" t="s">
        <v>400</v>
      </c>
      <c r="D71" s="881"/>
      <c r="E71" s="734" t="str">
        <f t="shared" ca="1" si="6"/>
        <v/>
      </c>
      <c r="F71" s="894" t="str">
        <f t="shared" ca="1" si="7"/>
        <v/>
      </c>
      <c r="G71" s="55"/>
    </row>
    <row r="72" spans="2:7" ht="15.5" x14ac:dyDescent="0.25">
      <c r="B72" s="43"/>
      <c r="C72" s="43"/>
      <c r="D72" s="43"/>
      <c r="E72" s="43"/>
      <c r="F72" s="43"/>
      <c r="G72" s="43"/>
    </row>
    <row r="73" spans="2:7" x14ac:dyDescent="0.25">
      <c r="B73" s="187"/>
      <c r="C73" s="188"/>
      <c r="D73" s="188"/>
      <c r="E73" s="255"/>
      <c r="F73" s="188"/>
      <c r="G73" s="189"/>
    </row>
    <row r="74" spans="2:7" ht="15.5" x14ac:dyDescent="0.35">
      <c r="B74" s="190"/>
      <c r="C74" s="254" t="s">
        <v>757</v>
      </c>
      <c r="D74" s="234"/>
      <c r="E74" s="256"/>
      <c r="F74" s="234"/>
      <c r="G74" s="191"/>
    </row>
    <row r="75" spans="2:7" x14ac:dyDescent="0.25">
      <c r="B75" s="192"/>
      <c r="C75" s="193"/>
      <c r="D75" s="193"/>
      <c r="E75" s="645"/>
      <c r="F75" s="193"/>
      <c r="G75" s="194"/>
    </row>
    <row r="76" spans="2:7" x14ac:dyDescent="0.25">
      <c r="B76" s="36"/>
      <c r="C76" s="37"/>
      <c r="D76" s="37"/>
      <c r="E76" s="37"/>
      <c r="F76" s="37"/>
      <c r="G76" s="38"/>
    </row>
    <row r="77" spans="2:7" ht="13" x14ac:dyDescent="0.3">
      <c r="B77" s="36"/>
      <c r="C77" s="264" t="s">
        <v>414</v>
      </c>
      <c r="D77" s="664" t="str">
        <f t="shared" ref="D77:D89" ca="1" si="8">IFERROR(IF($C77&lt;&gt;"",VLOOKUP($C77,INDIRECT($L$4),2,FALSE),""),"")</f>
        <v/>
      </c>
      <c r="E77" s="777" t="str">
        <f t="shared" ref="E77:E89" ca="1" si="9">IFERROR(IF($C77&lt;&gt;"",VLOOKUP($C77,INDIRECT($L$4),3,FALSE),""),"")</f>
        <v/>
      </c>
      <c r="F77" s="670" t="str">
        <f t="shared" ref="F77:F89" ca="1" si="10">IFERROR(IF($C77&lt;&gt;"",VLOOKUP($C77,INDIRECT($L$4),4,FALSE),""),"")</f>
        <v/>
      </c>
      <c r="G77" s="38"/>
    </row>
    <row r="78" spans="2:7" ht="13" x14ac:dyDescent="0.3">
      <c r="B78" s="36"/>
      <c r="C78" s="264" t="s">
        <v>416</v>
      </c>
      <c r="D78" s="666" t="str">
        <f t="shared" ca="1" si="8"/>
        <v/>
      </c>
      <c r="E78" s="758" t="str">
        <f t="shared" ca="1" si="9"/>
        <v/>
      </c>
      <c r="F78" s="623" t="str">
        <f t="shared" ca="1" si="10"/>
        <v/>
      </c>
      <c r="G78" s="38"/>
    </row>
    <row r="79" spans="2:7" ht="13" x14ac:dyDescent="0.3">
      <c r="B79" s="36"/>
      <c r="C79" s="264"/>
      <c r="D79" s="666" t="str">
        <f t="shared" ca="1" si="8"/>
        <v/>
      </c>
      <c r="E79" s="759" t="str">
        <f t="shared" ca="1" si="9"/>
        <v/>
      </c>
      <c r="F79" s="652" t="str">
        <f t="shared" ca="1" si="10"/>
        <v/>
      </c>
      <c r="G79" s="38"/>
    </row>
    <row r="80" spans="2:7" ht="13" x14ac:dyDescent="0.3">
      <c r="B80" s="36"/>
      <c r="C80" s="264" t="s">
        <v>414</v>
      </c>
      <c r="D80" s="666" t="str">
        <f t="shared" ca="1" si="8"/>
        <v/>
      </c>
      <c r="E80" s="772" t="str">
        <f t="shared" ca="1" si="9"/>
        <v/>
      </c>
      <c r="F80" s="623" t="str">
        <f t="shared" ca="1" si="10"/>
        <v/>
      </c>
      <c r="G80" s="38"/>
    </row>
    <row r="81" spans="2:12" ht="13" x14ac:dyDescent="0.3">
      <c r="B81" s="36"/>
      <c r="C81" s="264" t="s">
        <v>98</v>
      </c>
      <c r="D81" s="666" t="str">
        <f t="shared" ca="1" si="8"/>
        <v/>
      </c>
      <c r="E81" s="772" t="str">
        <f t="shared" ca="1" si="9"/>
        <v/>
      </c>
      <c r="F81" s="623" t="str">
        <f t="shared" ca="1" si="10"/>
        <v/>
      </c>
      <c r="G81" s="38"/>
    </row>
    <row r="82" spans="2:12" ht="13" x14ac:dyDescent="0.3">
      <c r="B82" s="36"/>
      <c r="C82" s="264" t="s">
        <v>99</v>
      </c>
      <c r="D82" s="666" t="str">
        <f t="shared" ca="1" si="8"/>
        <v/>
      </c>
      <c r="E82" s="772" t="str">
        <f t="shared" ca="1" si="9"/>
        <v/>
      </c>
      <c r="F82" s="623" t="str">
        <f t="shared" ca="1" si="10"/>
        <v/>
      </c>
      <c r="G82" s="38"/>
    </row>
    <row r="83" spans="2:12" ht="13" x14ac:dyDescent="0.3">
      <c r="B83" s="36"/>
      <c r="C83" s="264" t="s">
        <v>100</v>
      </c>
      <c r="D83" s="666" t="str">
        <f t="shared" ca="1" si="8"/>
        <v/>
      </c>
      <c r="E83" s="772" t="str">
        <f t="shared" ca="1" si="9"/>
        <v/>
      </c>
      <c r="F83" s="623" t="str">
        <f t="shared" ca="1" si="10"/>
        <v/>
      </c>
      <c r="G83" s="38"/>
    </row>
    <row r="84" spans="2:12" ht="13" x14ac:dyDescent="0.3">
      <c r="B84" s="36"/>
      <c r="C84" s="264" t="s">
        <v>101</v>
      </c>
      <c r="D84" s="666" t="str">
        <f t="shared" ca="1" si="8"/>
        <v/>
      </c>
      <c r="E84" s="772" t="str">
        <f t="shared" ca="1" si="9"/>
        <v/>
      </c>
      <c r="F84" s="623" t="str">
        <f t="shared" ca="1" si="10"/>
        <v/>
      </c>
      <c r="G84" s="38"/>
    </row>
    <row r="85" spans="2:12" ht="13" x14ac:dyDescent="0.3">
      <c r="B85" s="36"/>
      <c r="C85" s="264" t="s">
        <v>418</v>
      </c>
      <c r="D85" s="666" t="str">
        <f t="shared" ca="1" si="8"/>
        <v/>
      </c>
      <c r="E85" s="772" t="str">
        <f t="shared" ca="1" si="9"/>
        <v/>
      </c>
      <c r="F85" s="623" t="str">
        <f t="shared" ca="1" si="10"/>
        <v/>
      </c>
      <c r="G85" s="38"/>
    </row>
    <row r="86" spans="2:12" ht="13" x14ac:dyDescent="0.3">
      <c r="B86" s="36"/>
      <c r="C86" s="264" t="s">
        <v>419</v>
      </c>
      <c r="D86" s="666" t="str">
        <f t="shared" ca="1" si="8"/>
        <v/>
      </c>
      <c r="E86" s="758" t="str">
        <f t="shared" ca="1" si="9"/>
        <v/>
      </c>
      <c r="F86" s="623" t="str">
        <f t="shared" ca="1" si="10"/>
        <v/>
      </c>
      <c r="G86" s="38"/>
    </row>
    <row r="87" spans="2:12" ht="13" x14ac:dyDescent="0.3">
      <c r="B87" s="36"/>
      <c r="C87" s="264"/>
      <c r="D87" s="666" t="str">
        <f t="shared" ca="1" si="8"/>
        <v/>
      </c>
      <c r="E87" s="759" t="str">
        <f t="shared" ca="1" si="9"/>
        <v/>
      </c>
      <c r="F87" s="652" t="str">
        <f t="shared" ca="1" si="10"/>
        <v/>
      </c>
      <c r="G87" s="38"/>
    </row>
    <row r="88" spans="2:12" ht="13" x14ac:dyDescent="0.3">
      <c r="B88" s="36"/>
      <c r="C88" s="264" t="s">
        <v>420</v>
      </c>
      <c r="D88" s="666" t="str">
        <f t="shared" ca="1" si="8"/>
        <v/>
      </c>
      <c r="E88" s="772" t="str">
        <f t="shared" ca="1" si="9"/>
        <v/>
      </c>
      <c r="F88" s="623" t="str">
        <f t="shared" ca="1" si="10"/>
        <v/>
      </c>
      <c r="G88" s="38"/>
    </row>
    <row r="89" spans="2:12" ht="13" x14ac:dyDescent="0.3">
      <c r="B89" s="39"/>
      <c r="C89" s="266" t="s">
        <v>421</v>
      </c>
      <c r="D89" s="671" t="str">
        <f t="shared" ca="1" si="8"/>
        <v/>
      </c>
      <c r="E89" s="760" t="str">
        <f t="shared" ca="1" si="9"/>
        <v/>
      </c>
      <c r="F89" s="669" t="str">
        <f t="shared" ca="1" si="10"/>
        <v/>
      </c>
      <c r="G89" s="40"/>
    </row>
    <row r="90" spans="2:12" ht="13" x14ac:dyDescent="0.3">
      <c r="L90" s="228"/>
    </row>
    <row r="91" spans="2:12" ht="15.5" x14ac:dyDescent="0.35">
      <c r="B91" s="187"/>
      <c r="C91" s="188"/>
      <c r="D91" s="631"/>
      <c r="E91" s="632"/>
      <c r="F91" s="631"/>
      <c r="G91" s="189"/>
      <c r="L91" s="228"/>
    </row>
    <row r="92" spans="2:12" ht="15.5" x14ac:dyDescent="0.35">
      <c r="B92" s="190"/>
      <c r="C92" s="254" t="s">
        <v>759</v>
      </c>
      <c r="D92" s="633"/>
      <c r="E92" s="634"/>
      <c r="F92" s="633"/>
      <c r="G92" s="191"/>
    </row>
    <row r="93" spans="2:12" ht="15.5" x14ac:dyDescent="0.35">
      <c r="B93" s="192"/>
      <c r="C93" s="193"/>
      <c r="D93" s="792" t="s">
        <v>198</v>
      </c>
      <c r="E93" s="794" t="s">
        <v>164</v>
      </c>
      <c r="F93" s="792" t="s">
        <v>760</v>
      </c>
      <c r="G93" s="641"/>
    </row>
    <row r="94" spans="2:12" ht="15.5" x14ac:dyDescent="0.35">
      <c r="B94" s="251"/>
      <c r="C94" s="252"/>
      <c r="D94" s="637"/>
      <c r="E94" s="637"/>
      <c r="F94" s="637"/>
      <c r="G94" s="253"/>
    </row>
    <row r="95" spans="2:12" ht="13" x14ac:dyDescent="0.3">
      <c r="B95" s="36"/>
      <c r="C95" s="264" t="s">
        <v>422</v>
      </c>
      <c r="D95" s="609" t="str">
        <f t="shared" ref="D95:D102" ca="1" si="11">IFERROR(IF($C95&lt;&gt;"",VLOOKUP($C95,INDIRECT($L$4),2,FALSE),""),"")</f>
        <v/>
      </c>
      <c r="E95" s="721" t="str">
        <f t="shared" ref="E95:E102" ca="1" si="12">IFERROR(IF($C95&lt;&gt;"",VLOOKUP($C95,INDIRECT($L$4),3,FALSE),""),"")</f>
        <v/>
      </c>
      <c r="F95" s="719" t="str">
        <f t="shared" ref="F95:F102" ca="1" si="13">IFERROR(IF($C95&lt;&gt;"",VLOOKUP($C95,INDIRECT($L$4),4,FALSE),""),"")</f>
        <v/>
      </c>
      <c r="G95" s="38"/>
    </row>
    <row r="96" spans="2:12" ht="13" x14ac:dyDescent="0.3">
      <c r="B96" s="36"/>
      <c r="C96" s="588" t="s">
        <v>423</v>
      </c>
      <c r="D96" s="595" t="str">
        <f t="shared" ca="1" si="11"/>
        <v/>
      </c>
      <c r="E96" s="718" t="str">
        <f t="shared" ca="1" si="12"/>
        <v/>
      </c>
      <c r="F96" s="720" t="str">
        <f t="shared" ca="1" si="13"/>
        <v/>
      </c>
      <c r="G96" s="38"/>
    </row>
    <row r="97" spans="2:7" ht="13" x14ac:dyDescent="0.3">
      <c r="B97" s="36"/>
      <c r="C97" s="588" t="s">
        <v>424</v>
      </c>
      <c r="D97" s="595" t="str">
        <f t="shared" ca="1" si="11"/>
        <v/>
      </c>
      <c r="E97" s="718" t="str">
        <f t="shared" ca="1" si="12"/>
        <v/>
      </c>
      <c r="F97" s="720" t="str">
        <f t="shared" ca="1" si="13"/>
        <v/>
      </c>
      <c r="G97" s="38"/>
    </row>
    <row r="98" spans="2:7" ht="13" x14ac:dyDescent="0.3">
      <c r="B98" s="36"/>
      <c r="C98" s="588" t="s">
        <v>425</v>
      </c>
      <c r="D98" s="595" t="str">
        <f t="shared" ca="1" si="11"/>
        <v/>
      </c>
      <c r="E98" s="718" t="str">
        <f t="shared" ca="1" si="12"/>
        <v/>
      </c>
      <c r="F98" s="720" t="str">
        <f t="shared" ca="1" si="13"/>
        <v/>
      </c>
      <c r="G98" s="38"/>
    </row>
    <row r="99" spans="2:7" ht="13" x14ac:dyDescent="0.3">
      <c r="B99" s="36"/>
      <c r="C99" s="588" t="s">
        <v>426</v>
      </c>
      <c r="D99" s="595" t="str">
        <f t="shared" ca="1" si="11"/>
        <v/>
      </c>
      <c r="E99" s="718" t="str">
        <f t="shared" ca="1" si="12"/>
        <v/>
      </c>
      <c r="F99" s="720" t="str">
        <f t="shared" ca="1" si="13"/>
        <v/>
      </c>
      <c r="G99" s="38"/>
    </row>
    <row r="100" spans="2:7" ht="13" x14ac:dyDescent="0.3">
      <c r="B100" s="36"/>
      <c r="C100" s="264" t="s">
        <v>427</v>
      </c>
      <c r="D100" s="595" t="str">
        <f t="shared" ca="1" si="11"/>
        <v/>
      </c>
      <c r="E100" s="718" t="str">
        <f t="shared" ca="1" si="12"/>
        <v/>
      </c>
      <c r="F100" s="720" t="str">
        <f t="shared" ca="1" si="13"/>
        <v/>
      </c>
      <c r="G100" s="38"/>
    </row>
    <row r="101" spans="2:7" ht="13" x14ac:dyDescent="0.3">
      <c r="B101" s="36"/>
      <c r="C101" s="588" t="s">
        <v>428</v>
      </c>
      <c r="D101" s="595" t="str">
        <f t="shared" ca="1" si="11"/>
        <v/>
      </c>
      <c r="E101" s="718" t="str">
        <f t="shared" ca="1" si="12"/>
        <v/>
      </c>
      <c r="F101" s="720" t="str">
        <f t="shared" ca="1" si="13"/>
        <v/>
      </c>
      <c r="G101" s="38"/>
    </row>
    <row r="102" spans="2:7" ht="13" x14ac:dyDescent="0.3">
      <c r="B102" s="36"/>
      <c r="C102" s="588" t="s">
        <v>429</v>
      </c>
      <c r="D102" s="595" t="str">
        <f t="shared" ca="1" si="11"/>
        <v/>
      </c>
      <c r="E102" s="718" t="str">
        <f t="shared" ca="1" si="12"/>
        <v/>
      </c>
      <c r="F102" s="720" t="str">
        <f t="shared" ca="1" si="13"/>
        <v/>
      </c>
      <c r="G102" s="38"/>
    </row>
    <row r="103" spans="2:7" ht="13" x14ac:dyDescent="0.3">
      <c r="B103" s="36"/>
      <c r="C103" s="588" t="s">
        <v>430</v>
      </c>
      <c r="D103" s="595" t="str">
        <f ca="1">IFERROR(IF(C103&lt;&gt;"",VLOOKUP($C103,INDIRECT($J$30),2,FALSE),""),"")</f>
        <v/>
      </c>
      <c r="E103" s="718" t="str">
        <f ca="1">IFERROR(IF(C103&lt;&gt;"",VLOOKUP($C103,INDIRECT($J$30),3,FALSE),""),"")</f>
        <v/>
      </c>
      <c r="F103" s="720" t="str">
        <f ca="1">IFERROR(IF(C103&lt;&gt;"",VLOOKUP($C103,INDIRECT($J$30),4,FALSE),""),"")</f>
        <v/>
      </c>
      <c r="G103" s="38"/>
    </row>
    <row r="104" spans="2:7" ht="13" x14ac:dyDescent="0.3">
      <c r="B104" s="36"/>
      <c r="C104" s="264" t="s">
        <v>761</v>
      </c>
      <c r="D104" s="595" t="str">
        <f ca="1">IFERROR(IF(C104&lt;&gt;"",VLOOKUP($C104,INDIRECT($J$30),2,FALSE),""),"")</f>
        <v/>
      </c>
      <c r="E104" s="718" t="str">
        <f ca="1">IFERROR(IF(C104&lt;&gt;"",VLOOKUP($C104,INDIRECT($J$30),3,FALSE),""),"")</f>
        <v/>
      </c>
      <c r="F104" s="720" t="str">
        <f ca="1">IFERROR(IF(C104&lt;&gt;"",VLOOKUP($C104,INDIRECT($J$30),4,FALSE),""),"")</f>
        <v/>
      </c>
      <c r="G104" s="38"/>
    </row>
    <row r="105" spans="2:7" ht="13" x14ac:dyDescent="0.3">
      <c r="B105" s="36"/>
      <c r="C105" s="588" t="s">
        <v>431</v>
      </c>
      <c r="D105" s="595" t="str">
        <f ca="1">IFERROR(IF(C105&lt;&gt;"",VLOOKUP($C105,INDIRECT($J$30),2,FALSE),""),"")</f>
        <v/>
      </c>
      <c r="E105" s="718" t="str">
        <f ca="1">IFERROR(IF(C105&lt;&gt;"",VLOOKUP($C105,INDIRECT($J$30),3,FALSE),""),"")</f>
        <v/>
      </c>
      <c r="F105" s="720" t="str">
        <f ca="1">IFERROR(IF(C105&lt;&gt;"",VLOOKUP($C105,INDIRECT($J$30),4,FALSE),""),"")</f>
        <v/>
      </c>
      <c r="G105" s="38"/>
    </row>
    <row r="106" spans="2:7" ht="13" x14ac:dyDescent="0.3">
      <c r="B106" s="36"/>
      <c r="C106" s="588" t="s">
        <v>432</v>
      </c>
      <c r="D106" s="595" t="str">
        <f ca="1">IFERROR(IF(C106&lt;&gt;"",VLOOKUP($C106,INDIRECT($J$30),2,FALSE),""),"")</f>
        <v/>
      </c>
      <c r="E106" s="718" t="str">
        <f ca="1">IFERROR(IF(C106&lt;&gt;"",VLOOKUP($C106,INDIRECT($J$30),3,FALSE),""),"")</f>
        <v/>
      </c>
      <c r="F106" s="720" t="str">
        <f ca="1">IFERROR(IF(C106&lt;&gt;"",VLOOKUP($C106,INDIRECT($J$30),4,FALSE),""),"")</f>
        <v/>
      </c>
      <c r="G106" s="38"/>
    </row>
    <row r="107" spans="2:7" ht="13" x14ac:dyDescent="0.3">
      <c r="B107" s="39"/>
      <c r="C107" s="589" t="s">
        <v>433</v>
      </c>
      <c r="D107" s="596" t="str">
        <f ca="1">IFERROR(IF(C107&lt;&gt;"",VLOOKUP($C107,INDIRECT($J$30),2,FALSE),""),"")</f>
        <v/>
      </c>
      <c r="E107" s="722" t="str">
        <f ca="1">IFERROR(IF(C107&lt;&gt;"",VLOOKUP($C107,INDIRECT($J$30),3,FALSE),""),"")</f>
        <v/>
      </c>
      <c r="F107" s="723" t="str">
        <f ca="1">IFERROR(IF(C107&lt;&gt;"",VLOOKUP($C107,INDIRECT($J$30),4,FALSE),""),"")</f>
        <v/>
      </c>
      <c r="G107" s="40"/>
    </row>
    <row r="108" spans="2:7" ht="15.5" x14ac:dyDescent="0.25">
      <c r="B108" s="43"/>
      <c r="C108" s="43"/>
      <c r="D108" s="43"/>
      <c r="E108" s="43"/>
      <c r="F108" s="43"/>
      <c r="G108" s="43"/>
    </row>
    <row r="109" spans="2:7" x14ac:dyDescent="0.25">
      <c r="B109" s="187"/>
      <c r="C109" s="188"/>
      <c r="D109" s="188"/>
      <c r="E109" s="188"/>
      <c r="F109" s="188"/>
      <c r="G109" s="189"/>
    </row>
    <row r="110" spans="2:7" ht="15.5" x14ac:dyDescent="0.35">
      <c r="B110" s="190"/>
      <c r="C110" s="254" t="s">
        <v>762</v>
      </c>
      <c r="D110" s="234"/>
      <c r="E110" s="234"/>
      <c r="F110" s="234"/>
      <c r="G110" s="191"/>
    </row>
    <row r="111" spans="2:7" ht="15.5" x14ac:dyDescent="0.35">
      <c r="B111" s="192"/>
      <c r="C111" s="193"/>
      <c r="D111" s="792" t="s">
        <v>243</v>
      </c>
      <c r="E111" s="792" t="s">
        <v>947</v>
      </c>
      <c r="F111" s="792" t="s">
        <v>948</v>
      </c>
      <c r="G111" s="257"/>
    </row>
    <row r="112" spans="2:7" x14ac:dyDescent="0.25">
      <c r="B112" s="251"/>
      <c r="C112" s="252"/>
      <c r="D112" s="252"/>
      <c r="E112" s="252"/>
      <c r="F112" s="252"/>
      <c r="G112" s="253"/>
    </row>
    <row r="113" spans="2:7" ht="13" x14ac:dyDescent="0.3">
      <c r="B113" s="36"/>
      <c r="C113" s="264" t="s">
        <v>166</v>
      </c>
      <c r="D113" s="664" t="str">
        <f t="shared" ref="D113:D124" ca="1" si="14">IFERROR(IF($C113&lt;&gt;"",VLOOKUP($C113,INDIRECT($L$4),2,FALSE),""),"")</f>
        <v/>
      </c>
      <c r="E113" s="771" t="str">
        <f t="shared" ref="E113:E124" ca="1" si="15">IFERROR(IF($C113&lt;&gt;"",VLOOKUP($C113,INDIRECT($L$4),3,FALSE),""),"")</f>
        <v/>
      </c>
      <c r="F113" s="762" t="str">
        <f t="shared" ref="F113:F124" ca="1" si="16">IFERROR(IF($C113&lt;&gt;"",VLOOKUP($C113,INDIRECT($L$4),4,FALSE),""),"")</f>
        <v/>
      </c>
      <c r="G113" s="38"/>
    </row>
    <row r="114" spans="2:7" ht="13" x14ac:dyDescent="0.3">
      <c r="B114" s="36"/>
      <c r="C114" s="646" t="s">
        <v>434</v>
      </c>
      <c r="D114" s="643" t="str">
        <f t="shared" ca="1" si="14"/>
        <v/>
      </c>
      <c r="E114" s="772" t="str">
        <f t="shared" ca="1" si="15"/>
        <v/>
      </c>
      <c r="F114" s="763" t="str">
        <f t="shared" ca="1" si="16"/>
        <v/>
      </c>
      <c r="G114" s="38"/>
    </row>
    <row r="115" spans="2:7" x14ac:dyDescent="0.25">
      <c r="B115" s="36"/>
      <c r="C115" s="42"/>
      <c r="D115" s="666" t="str">
        <f t="shared" ca="1" si="14"/>
        <v/>
      </c>
      <c r="E115" s="773" t="str">
        <f t="shared" ca="1" si="15"/>
        <v/>
      </c>
      <c r="F115" s="764" t="str">
        <f t="shared" ca="1" si="16"/>
        <v/>
      </c>
      <c r="G115" s="38"/>
    </row>
    <row r="116" spans="2:7" ht="13" x14ac:dyDescent="0.3">
      <c r="B116" s="36"/>
      <c r="C116" s="265" t="s">
        <v>172</v>
      </c>
      <c r="D116" s="666" t="str">
        <f t="shared" ca="1" si="14"/>
        <v/>
      </c>
      <c r="E116" s="773" t="str">
        <f t="shared" ca="1" si="15"/>
        <v/>
      </c>
      <c r="F116" s="764" t="str">
        <f t="shared" ca="1" si="16"/>
        <v/>
      </c>
      <c r="G116" s="38"/>
    </row>
    <row r="117" spans="2:7" ht="13" x14ac:dyDescent="0.3">
      <c r="B117" s="36"/>
      <c r="C117" s="646" t="s">
        <v>435</v>
      </c>
      <c r="D117" s="643" t="str">
        <f t="shared" ca="1" si="14"/>
        <v/>
      </c>
      <c r="E117" s="772" t="str">
        <f t="shared" ca="1" si="15"/>
        <v/>
      </c>
      <c r="F117" s="763" t="str">
        <f t="shared" ca="1" si="16"/>
        <v/>
      </c>
      <c r="G117" s="38"/>
    </row>
    <row r="118" spans="2:7" x14ac:dyDescent="0.25">
      <c r="B118" s="36"/>
      <c r="C118" s="42"/>
      <c r="D118" s="666" t="str">
        <f t="shared" ca="1" si="14"/>
        <v/>
      </c>
      <c r="E118" s="773" t="str">
        <f t="shared" ca="1" si="15"/>
        <v/>
      </c>
      <c r="F118" s="764" t="str">
        <f t="shared" ca="1" si="16"/>
        <v/>
      </c>
      <c r="G118" s="38"/>
    </row>
    <row r="119" spans="2:7" ht="13" x14ac:dyDescent="0.3">
      <c r="B119" s="36"/>
      <c r="C119" s="265" t="s">
        <v>763</v>
      </c>
      <c r="D119" s="666" t="str">
        <f t="shared" ca="1" si="14"/>
        <v/>
      </c>
      <c r="E119" s="774" t="str">
        <f t="shared" ca="1" si="15"/>
        <v/>
      </c>
      <c r="F119" s="764" t="str">
        <f t="shared" ca="1" si="16"/>
        <v/>
      </c>
      <c r="G119" s="38"/>
    </row>
    <row r="120" spans="2:7" ht="13" x14ac:dyDescent="0.3">
      <c r="B120" s="36"/>
      <c r="C120" s="584" t="s">
        <v>436</v>
      </c>
      <c r="D120" s="643" t="str">
        <f t="shared" ca="1" si="14"/>
        <v/>
      </c>
      <c r="E120" s="772" t="str">
        <f t="shared" ca="1" si="15"/>
        <v/>
      </c>
      <c r="F120" s="763" t="str">
        <f t="shared" ca="1" si="16"/>
        <v/>
      </c>
      <c r="G120" s="38"/>
    </row>
    <row r="121" spans="2:7" ht="13" x14ac:dyDescent="0.3">
      <c r="B121" s="36"/>
      <c r="C121" s="585" t="s">
        <v>437</v>
      </c>
      <c r="D121" s="643" t="str">
        <f t="shared" ca="1" si="14"/>
        <v/>
      </c>
      <c r="E121" s="772" t="str">
        <f t="shared" ca="1" si="15"/>
        <v/>
      </c>
      <c r="F121" s="763" t="str">
        <f t="shared" ca="1" si="16"/>
        <v/>
      </c>
      <c r="G121" s="38"/>
    </row>
    <row r="122" spans="2:7" ht="13" x14ac:dyDescent="0.3">
      <c r="B122" s="36"/>
      <c r="C122" s="585" t="s">
        <v>438</v>
      </c>
      <c r="D122" s="643" t="str">
        <f t="shared" ca="1" si="14"/>
        <v/>
      </c>
      <c r="E122" s="772" t="str">
        <f t="shared" ca="1" si="15"/>
        <v/>
      </c>
      <c r="F122" s="763" t="str">
        <f t="shared" ca="1" si="16"/>
        <v/>
      </c>
      <c r="G122" s="38"/>
    </row>
    <row r="123" spans="2:7" ht="13" x14ac:dyDescent="0.3">
      <c r="B123" s="36"/>
      <c r="C123" s="585" t="s">
        <v>439</v>
      </c>
      <c r="D123" s="643" t="str">
        <f t="shared" ca="1" si="14"/>
        <v/>
      </c>
      <c r="E123" s="772" t="str">
        <f t="shared" ca="1" si="15"/>
        <v/>
      </c>
      <c r="F123" s="763" t="str">
        <f t="shared" ca="1" si="16"/>
        <v/>
      </c>
      <c r="G123" s="38"/>
    </row>
    <row r="124" spans="2:7" ht="13" x14ac:dyDescent="0.3">
      <c r="B124" s="39"/>
      <c r="C124" s="586" t="s">
        <v>440</v>
      </c>
      <c r="D124" s="667" t="str">
        <f t="shared" ca="1" si="14"/>
        <v/>
      </c>
      <c r="E124" s="775" t="str">
        <f t="shared" ca="1" si="15"/>
        <v/>
      </c>
      <c r="F124" s="765" t="str">
        <f t="shared" ca="1" si="16"/>
        <v/>
      </c>
      <c r="G124" s="40"/>
    </row>
    <row r="125" spans="2:7" ht="15.5" x14ac:dyDescent="0.25">
      <c r="B125" s="43"/>
      <c r="C125" s="43"/>
      <c r="D125" s="43"/>
      <c r="E125" s="43"/>
      <c r="F125" s="43"/>
      <c r="G125" s="43"/>
    </row>
    <row r="126" spans="2:7" x14ac:dyDescent="0.25">
      <c r="B126" s="187"/>
      <c r="C126" s="188"/>
      <c r="D126" s="188"/>
      <c r="E126" s="255"/>
      <c r="F126" s="188"/>
      <c r="G126" s="189"/>
    </row>
    <row r="127" spans="2:7" ht="15.5" x14ac:dyDescent="0.35">
      <c r="B127" s="190"/>
      <c r="C127" s="254" t="s">
        <v>949</v>
      </c>
      <c r="D127" s="234"/>
      <c r="E127" s="256"/>
      <c r="F127" s="234"/>
      <c r="G127" s="191"/>
    </row>
    <row r="128" spans="2:7" x14ac:dyDescent="0.25">
      <c r="B128" s="192"/>
      <c r="C128" s="193"/>
      <c r="D128" s="193"/>
      <c r="E128" s="193"/>
      <c r="F128" s="193"/>
      <c r="G128" s="194"/>
    </row>
    <row r="129" spans="2:7" x14ac:dyDescent="0.25">
      <c r="B129" s="251"/>
      <c r="C129" s="252"/>
      <c r="D129" s="262"/>
      <c r="E129" s="252"/>
      <c r="F129" s="252"/>
      <c r="G129" s="253"/>
    </row>
    <row r="130" spans="2:7" ht="13" x14ac:dyDescent="0.3">
      <c r="B130" s="36"/>
      <c r="C130" s="264" t="s">
        <v>461</v>
      </c>
      <c r="D130" s="655" t="str">
        <f t="shared" ref="D130:D141" ca="1" si="17">IFERROR(IF($C130&lt;&gt;"",VLOOKUP($C130,INDIRECT($L$4),2,FALSE),""),"")</f>
        <v/>
      </c>
      <c r="E130" s="711" t="str">
        <f t="shared" ref="E130:E141" ca="1" si="18">IFERROR(IF($C130&lt;&gt;"",VLOOKUP($C130,INDIRECT($L$4),3,FALSE),""),"")</f>
        <v/>
      </c>
      <c r="F130" s="657" t="str">
        <f t="shared" ref="F130:F141" ca="1" si="19">IFERROR(IF($C130&lt;&gt;"",VLOOKUP($C130,INDIRECT($L$4),4,FALSE),""),"")</f>
        <v/>
      </c>
      <c r="G130" s="38"/>
    </row>
    <row r="131" spans="2:7" ht="13" x14ac:dyDescent="0.3">
      <c r="B131" s="36"/>
      <c r="C131" s="264" t="s">
        <v>462</v>
      </c>
      <c r="D131" s="655" t="str">
        <f t="shared" ca="1" si="17"/>
        <v/>
      </c>
      <c r="E131" s="769" t="str">
        <f t="shared" ca="1" si="18"/>
        <v/>
      </c>
      <c r="F131" s="659" t="str">
        <f t="shared" ca="1" si="19"/>
        <v/>
      </c>
      <c r="G131" s="38"/>
    </row>
    <row r="132" spans="2:7" ht="13" x14ac:dyDescent="0.3">
      <c r="B132" s="36"/>
      <c r="C132" s="264" t="s">
        <v>463</v>
      </c>
      <c r="D132" s="655" t="str">
        <f t="shared" ca="1" si="17"/>
        <v/>
      </c>
      <c r="E132" s="769" t="str">
        <f t="shared" ca="1" si="18"/>
        <v/>
      </c>
      <c r="F132" s="659" t="str">
        <f t="shared" ca="1" si="19"/>
        <v/>
      </c>
      <c r="G132" s="38"/>
    </row>
    <row r="133" spans="2:7" ht="13" x14ac:dyDescent="0.3">
      <c r="B133" s="36"/>
      <c r="C133" s="264"/>
      <c r="D133" s="655" t="str">
        <f t="shared" ca="1" si="17"/>
        <v/>
      </c>
      <c r="E133" s="770" t="str">
        <f t="shared" ca="1" si="18"/>
        <v/>
      </c>
      <c r="F133" s="660" t="str">
        <f t="shared" ca="1" si="19"/>
        <v/>
      </c>
      <c r="G133" s="38"/>
    </row>
    <row r="134" spans="2:7" ht="13" x14ac:dyDescent="0.3">
      <c r="B134" s="36"/>
      <c r="C134" s="264" t="s">
        <v>467</v>
      </c>
      <c r="D134" s="655" t="str">
        <f t="shared" ca="1" si="17"/>
        <v/>
      </c>
      <c r="E134" s="769" t="str">
        <f t="shared" ca="1" si="18"/>
        <v/>
      </c>
      <c r="F134" s="659" t="str">
        <f t="shared" ca="1" si="19"/>
        <v/>
      </c>
      <c r="G134" s="38"/>
    </row>
    <row r="135" spans="2:7" ht="13" x14ac:dyDescent="0.3">
      <c r="B135" s="36"/>
      <c r="C135" s="264" t="s">
        <v>472</v>
      </c>
      <c r="D135" s="655" t="str">
        <f t="shared" ca="1" si="17"/>
        <v/>
      </c>
      <c r="E135" s="769" t="str">
        <f t="shared" ca="1" si="18"/>
        <v/>
      </c>
      <c r="F135" s="659" t="str">
        <f t="shared" ca="1" si="19"/>
        <v/>
      </c>
      <c r="G135" s="38"/>
    </row>
    <row r="136" spans="2:7" ht="13" x14ac:dyDescent="0.3">
      <c r="B136" s="36"/>
      <c r="C136" s="264"/>
      <c r="D136" s="655" t="str">
        <f t="shared" ca="1" si="17"/>
        <v/>
      </c>
      <c r="E136" s="769" t="str">
        <f t="shared" ca="1" si="18"/>
        <v/>
      </c>
      <c r="F136" s="660" t="str">
        <f t="shared" ca="1" si="19"/>
        <v/>
      </c>
      <c r="G136" s="38"/>
    </row>
    <row r="137" spans="2:7" ht="13" x14ac:dyDescent="0.3">
      <c r="B137" s="36"/>
      <c r="C137" s="264" t="s">
        <v>911</v>
      </c>
      <c r="D137" s="655" t="str">
        <f t="shared" ca="1" si="17"/>
        <v/>
      </c>
      <c r="E137" s="769" t="str">
        <f t="shared" ca="1" si="18"/>
        <v/>
      </c>
      <c r="F137" s="660" t="str">
        <f t="shared" ca="1" si="19"/>
        <v/>
      </c>
      <c r="G137" s="38"/>
    </row>
    <row r="138" spans="2:7" ht="13" x14ac:dyDescent="0.3">
      <c r="B138" s="36"/>
      <c r="C138" s="264" t="s">
        <v>912</v>
      </c>
      <c r="D138" s="655" t="str">
        <f t="shared" ca="1" si="17"/>
        <v/>
      </c>
      <c r="E138" s="769" t="str">
        <f t="shared" ca="1" si="18"/>
        <v/>
      </c>
      <c r="F138" s="660" t="str">
        <f t="shared" ca="1" si="19"/>
        <v/>
      </c>
      <c r="G138" s="38"/>
    </row>
    <row r="139" spans="2:7" ht="13" x14ac:dyDescent="0.3">
      <c r="B139" s="36"/>
      <c r="C139" s="264"/>
      <c r="D139" s="655" t="str">
        <f t="shared" ca="1" si="17"/>
        <v/>
      </c>
      <c r="E139" s="769" t="str">
        <f t="shared" ca="1" si="18"/>
        <v/>
      </c>
      <c r="F139" s="660" t="str">
        <f t="shared" ca="1" si="19"/>
        <v/>
      </c>
      <c r="G139" s="38"/>
    </row>
    <row r="140" spans="2:7" ht="13" x14ac:dyDescent="0.3">
      <c r="B140" s="36"/>
      <c r="C140" s="264" t="s">
        <v>913</v>
      </c>
      <c r="D140" s="655" t="str">
        <f t="shared" ca="1" si="17"/>
        <v/>
      </c>
      <c r="E140" s="769" t="str">
        <f t="shared" ca="1" si="18"/>
        <v/>
      </c>
      <c r="F140" s="660" t="str">
        <f t="shared" ca="1" si="19"/>
        <v/>
      </c>
      <c r="G140" s="38"/>
    </row>
    <row r="141" spans="2:7" ht="13" x14ac:dyDescent="0.3">
      <c r="B141" s="39"/>
      <c r="C141" s="266" t="s">
        <v>914</v>
      </c>
      <c r="D141" s="661" t="str">
        <f t="shared" ca="1" si="17"/>
        <v/>
      </c>
      <c r="E141" s="709" t="str">
        <f t="shared" ca="1" si="18"/>
        <v/>
      </c>
      <c r="F141" s="663" t="str">
        <f t="shared" ca="1" si="19"/>
        <v/>
      </c>
      <c r="G141" s="40"/>
    </row>
    <row r="142" spans="2:7" ht="15.5" x14ac:dyDescent="0.25">
      <c r="B142" s="43"/>
      <c r="C142" s="43"/>
      <c r="D142" s="43"/>
      <c r="E142" s="43"/>
      <c r="F142" s="43"/>
      <c r="G142" s="43"/>
    </row>
    <row r="143" spans="2:7" x14ac:dyDescent="0.25">
      <c r="B143" s="187"/>
      <c r="C143" s="188"/>
      <c r="D143" s="188"/>
      <c r="E143" s="188"/>
      <c r="F143" s="188"/>
      <c r="G143" s="189"/>
    </row>
    <row r="144" spans="2:7" ht="15.5" x14ac:dyDescent="0.35">
      <c r="B144" s="190"/>
      <c r="C144" s="254" t="s">
        <v>776</v>
      </c>
      <c r="D144" s="234"/>
      <c r="E144" s="234"/>
      <c r="F144" s="234"/>
      <c r="G144" s="191"/>
    </row>
    <row r="145" spans="2:7" x14ac:dyDescent="0.25">
      <c r="B145" s="192"/>
      <c r="C145" s="193"/>
      <c r="D145" s="193"/>
      <c r="E145" s="193"/>
      <c r="F145" s="193"/>
      <c r="G145" s="194"/>
    </row>
    <row r="146" spans="2:7" x14ac:dyDescent="0.25">
      <c r="B146" s="251"/>
      <c r="C146" s="252"/>
      <c r="D146" s="252"/>
      <c r="E146" s="252"/>
      <c r="F146" s="252"/>
      <c r="G146" s="253"/>
    </row>
    <row r="147" spans="2:7" ht="13" x14ac:dyDescent="0.3">
      <c r="B147" s="36"/>
      <c r="C147" s="264" t="s">
        <v>454</v>
      </c>
      <c r="D147" s="647" t="str">
        <f t="shared" ref="D147:D154" ca="1" si="20">IFERROR(IF($C147&lt;&gt;"",VLOOKUP($C147,INDIRECT($L$4),2,FALSE),""),"")</f>
        <v/>
      </c>
      <c r="E147" s="648" t="str">
        <f t="shared" ref="E147:E154" ca="1" si="21">IFERROR(IF($C147&lt;&gt;"",VLOOKUP($C147,INDIRECT($L$4),3,FALSE),""),"")</f>
        <v/>
      </c>
      <c r="F147" s="649" t="str">
        <f t="shared" ref="F147:F154" ca="1" si="22">IFERROR(IF($C147&lt;&gt;"",VLOOKUP($C147,INDIRECT($L$4),4,FALSE),""),"")</f>
        <v/>
      </c>
      <c r="G147" s="38" t="str">
        <f ca="1">IFERROR(IF($C147="","",VLOOKUP($C147,INDIRECT($L$4),4,FALSE)),"")</f>
        <v/>
      </c>
    </row>
    <row r="148" spans="2:7" ht="13" x14ac:dyDescent="0.3">
      <c r="B148" s="36"/>
      <c r="C148" s="264" t="s">
        <v>65</v>
      </c>
      <c r="D148" s="650" t="str">
        <f t="shared" ca="1" si="20"/>
        <v/>
      </c>
      <c r="E148" s="651" t="str">
        <f t="shared" ca="1" si="21"/>
        <v/>
      </c>
      <c r="F148" s="652" t="str">
        <f t="shared" ca="1" si="22"/>
        <v/>
      </c>
      <c r="G148" s="38"/>
    </row>
    <row r="149" spans="2:7" ht="13" x14ac:dyDescent="0.3">
      <c r="B149" s="36"/>
      <c r="C149" s="264" t="s">
        <v>455</v>
      </c>
      <c r="D149" s="650" t="str">
        <f t="shared" ca="1" si="20"/>
        <v/>
      </c>
      <c r="E149" s="651" t="str">
        <f t="shared" ca="1" si="21"/>
        <v/>
      </c>
      <c r="F149" s="652" t="str">
        <f t="shared" ca="1" si="22"/>
        <v/>
      </c>
      <c r="G149" s="38"/>
    </row>
    <row r="150" spans="2:7" ht="13" x14ac:dyDescent="0.3">
      <c r="B150" s="36"/>
      <c r="C150" s="264" t="s">
        <v>456</v>
      </c>
      <c r="D150" s="650" t="str">
        <f t="shared" ca="1" si="20"/>
        <v/>
      </c>
      <c r="E150" s="772" t="str">
        <f t="shared" ca="1" si="21"/>
        <v/>
      </c>
      <c r="F150" s="652" t="str">
        <f t="shared" ca="1" si="22"/>
        <v/>
      </c>
      <c r="G150" s="38"/>
    </row>
    <row r="151" spans="2:7" ht="13" x14ac:dyDescent="0.3">
      <c r="B151" s="36"/>
      <c r="C151" s="264" t="s">
        <v>457</v>
      </c>
      <c r="D151" s="650" t="str">
        <f t="shared" ca="1" si="20"/>
        <v/>
      </c>
      <c r="E151" s="772" t="str">
        <f t="shared" ca="1" si="21"/>
        <v/>
      </c>
      <c r="F151" s="652" t="str">
        <f t="shared" ca="1" si="22"/>
        <v/>
      </c>
      <c r="G151" s="38"/>
    </row>
    <row r="152" spans="2:7" ht="13" x14ac:dyDescent="0.3">
      <c r="B152" s="36"/>
      <c r="C152" s="264" t="s">
        <v>458</v>
      </c>
      <c r="D152" s="650" t="str">
        <f t="shared" ca="1" si="20"/>
        <v/>
      </c>
      <c r="E152" s="772" t="str">
        <f t="shared" ca="1" si="21"/>
        <v/>
      </c>
      <c r="F152" s="652" t="str">
        <f t="shared" ca="1" si="22"/>
        <v/>
      </c>
      <c r="G152" s="38"/>
    </row>
    <row r="153" spans="2:7" ht="13" x14ac:dyDescent="0.3">
      <c r="B153" s="36"/>
      <c r="C153" s="264" t="s">
        <v>915</v>
      </c>
      <c r="D153" s="650" t="str">
        <f t="shared" ca="1" si="20"/>
        <v/>
      </c>
      <c r="E153" s="772" t="str">
        <f t="shared" ca="1" si="21"/>
        <v/>
      </c>
      <c r="F153" s="652" t="str">
        <f t="shared" ca="1" si="22"/>
        <v/>
      </c>
      <c r="G153" s="38"/>
    </row>
    <row r="154" spans="2:7" ht="13" x14ac:dyDescent="0.3">
      <c r="B154" s="39"/>
      <c r="C154" s="266" t="s">
        <v>460</v>
      </c>
      <c r="D154" s="653" t="str">
        <f t="shared" ca="1" si="20"/>
        <v/>
      </c>
      <c r="E154" s="775" t="str">
        <f t="shared" ca="1" si="21"/>
        <v/>
      </c>
      <c r="F154" s="654" t="str">
        <f t="shared" ca="1" si="22"/>
        <v/>
      </c>
      <c r="G154" s="40"/>
    </row>
    <row r="155" spans="2:7" x14ac:dyDescent="0.25"/>
    <row r="156" spans="2:7" x14ac:dyDescent="0.25">
      <c r="B156" s="187"/>
      <c r="C156" s="188"/>
      <c r="D156" s="188"/>
      <c r="E156" s="188"/>
      <c r="F156" s="188"/>
      <c r="G156" s="189"/>
    </row>
    <row r="157" spans="2:7" ht="15.5" x14ac:dyDescent="0.35">
      <c r="B157" s="190"/>
      <c r="C157" s="254" t="s">
        <v>950</v>
      </c>
      <c r="D157" s="234"/>
      <c r="E157" s="234"/>
      <c r="F157" s="234"/>
      <c r="G157" s="191"/>
    </row>
    <row r="158" spans="2:7" ht="15.5" x14ac:dyDescent="0.35">
      <c r="B158" s="192"/>
      <c r="C158" s="193"/>
      <c r="D158" s="792" t="s">
        <v>243</v>
      </c>
      <c r="E158" s="792" t="s">
        <v>164</v>
      </c>
      <c r="F158" s="792" t="s">
        <v>760</v>
      </c>
      <c r="G158" s="257"/>
    </row>
    <row r="159" spans="2:7" x14ac:dyDescent="0.25">
      <c r="B159" s="251"/>
      <c r="C159" s="252"/>
      <c r="D159" s="252"/>
      <c r="E159" s="252"/>
      <c r="F159" s="252"/>
      <c r="G159" s="253"/>
    </row>
    <row r="160" spans="2:7" ht="13" x14ac:dyDescent="0.3">
      <c r="B160" s="39"/>
      <c r="C160" s="683" t="s">
        <v>917</v>
      </c>
      <c r="D160" s="755" t="str">
        <f ca="1">IFERROR(IF($C160&lt;&gt;"",VLOOKUP($C160,INDIRECT($L$4),2,FALSE),""),"")</f>
        <v/>
      </c>
      <c r="E160" s="776" t="str">
        <f ca="1">IFERROR(IF($C160&lt;&gt;"",VLOOKUP($C160,INDIRECT($L$4),3,FALSE),""),"")</f>
        <v/>
      </c>
      <c r="F160" s="766" t="str">
        <f ca="1">IFERROR(IF($C160&lt;&gt;"",VLOOKUP($C160,INDIRECT($L$4),4,FALSE),""),"")</f>
        <v/>
      </c>
      <c r="G160" s="40"/>
    </row>
    <row r="161" x14ac:dyDescent="0.25"/>
    <row r="162" x14ac:dyDescent="0.25"/>
    <row r="163" x14ac:dyDescent="0.25"/>
  </sheetData>
  <mergeCells count="1">
    <mergeCell ref="B2:G2"/>
  </mergeCells>
  <conditionalFormatting sqref="A34:XFD72">
    <cfRule type="expression" dxfId="28" priority="2">
      <formula>$E34="N/A"</formula>
    </cfRule>
  </conditionalFormatting>
  <conditionalFormatting sqref="B3:G29 B73:G89 B91:G160">
    <cfRule type="expression" dxfId="27" priority="16">
      <formula>$E3="N/A"</formula>
    </cfRule>
  </conditionalFormatting>
  <conditionalFormatting sqref="D111:F111">
    <cfRule type="expression" dxfId="26" priority="13">
      <formula>$E111="N/A"</formula>
    </cfRule>
  </conditionalFormatting>
  <conditionalFormatting sqref="D158:F158">
    <cfRule type="expression" dxfId="25" priority="5">
      <formula>$E158="N/A"</formula>
    </cfRule>
  </conditionalFormatting>
  <conditionalFormatting sqref="E32">
    <cfRule type="expression" dxfId="24" priority="10">
      <formula>$E32="N/A"</formula>
    </cfRule>
  </conditionalFormatting>
  <conditionalFormatting sqref="E45">
    <cfRule type="expression" dxfId="23" priority="9">
      <formula>$E45="N/A"</formula>
    </cfRule>
  </conditionalFormatting>
  <conditionalFormatting sqref="H3:K6 P3:XFD6 L4:O6 H7:XFD10">
    <cfRule type="expression" dxfId="22" priority="101">
      <formula>#REF!="N/A"</formula>
    </cfRule>
  </conditionalFormatting>
  <conditionalFormatting sqref="H11:XFD11 H21:XFD21 H73:XFD75 H84:XFD147">
    <cfRule type="expression" dxfId="21" priority="99">
      <formula>$E19="N/A"</formula>
    </cfRule>
  </conditionalFormatting>
  <conditionalFormatting sqref="H12:XFD20">
    <cfRule type="expression" dxfId="20" priority="170">
      <formula>$E21="N/A"</formula>
    </cfRule>
  </conditionalFormatting>
  <conditionalFormatting sqref="H22:XFD29">
    <cfRule type="expression" dxfId="19" priority="105">
      <formula>$E73="N/A"</formula>
    </cfRule>
  </conditionalFormatting>
  <conditionalFormatting sqref="H76:XFD76">
    <cfRule type="expression" dxfId="18" priority="142">
      <formula>#REF!="N/A"</formula>
    </cfRule>
  </conditionalFormatting>
  <conditionalFormatting sqref="H77:XFD82">
    <cfRule type="expression" dxfId="17" priority="141">
      <formula>$E84="N/A"</formula>
    </cfRule>
  </conditionalFormatting>
  <conditionalFormatting sqref="L3">
    <cfRule type="expression" dxfId="16" priority="3">
      <formula>$E3="N/A"</formula>
    </cfRule>
  </conditionalFormatting>
  <pageMargins left="0.7" right="0.7" top="0.75" bottom="0.75" header="0.3" footer="0.3"/>
  <pageSetup orientation="portrait" horizontalDpi="4294967293"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B9986-09F8-49BC-878C-F94B72C06996}">
  <sheetPr>
    <tabColor theme="0" tint="-0.249977111117893"/>
  </sheetPr>
  <dimension ref="A1:AP98"/>
  <sheetViews>
    <sheetView showGridLines="0" zoomScaleNormal="100" workbookViewId="0">
      <selection activeCell="B4" sqref="B4:G7"/>
    </sheetView>
  </sheetViews>
  <sheetFormatPr defaultColWidth="0" defaultRowHeight="12.5" zeroHeight="1" x14ac:dyDescent="0.25"/>
  <cols>
    <col min="1" max="1" width="3.453125" customWidth="1"/>
    <col min="2" max="2" width="20.453125" customWidth="1"/>
    <col min="3" max="3" width="3" customWidth="1"/>
    <col min="4" max="4" width="10.1796875" customWidth="1"/>
    <col min="5" max="5" width="20.453125" bestFit="1" customWidth="1"/>
    <col min="6" max="6" width="6.453125" customWidth="1"/>
    <col min="7" max="7" width="13" bestFit="1" customWidth="1"/>
    <col min="8" max="8" width="4.453125" customWidth="1"/>
    <col min="9" max="9" width="15.81640625" customWidth="1"/>
    <col min="10" max="10" width="13" bestFit="1" customWidth="1"/>
    <col min="11" max="11" width="13.1796875" bestFit="1" customWidth="1"/>
    <col min="12" max="12" width="7.453125" customWidth="1"/>
    <col min="13" max="13" width="8.453125" bestFit="1" customWidth="1"/>
    <col min="14" max="14" width="13" bestFit="1" customWidth="1"/>
    <col min="15" max="15" width="14.54296875" customWidth="1"/>
    <col min="16" max="16" width="3.453125" customWidth="1"/>
    <col min="17" max="17" width="9.1796875" hidden="1" customWidth="1"/>
    <col min="18" max="18" width="11.453125" hidden="1" customWidth="1"/>
    <col min="19" max="19" width="9.1796875" hidden="1" customWidth="1"/>
    <col min="20" max="20" width="6" hidden="1" customWidth="1"/>
    <col min="21" max="21" width="42.54296875" hidden="1" customWidth="1"/>
    <col min="22" max="22" width="38.54296875" hidden="1" customWidth="1"/>
    <col min="23" max="23" width="41.453125" hidden="1" customWidth="1"/>
    <col min="24" max="24" width="21" hidden="1" customWidth="1"/>
    <col min="25" max="25" width="6" hidden="1" customWidth="1"/>
    <col min="26" max="26" width="17.54296875" hidden="1" customWidth="1"/>
    <col min="27" max="27" width="9" hidden="1" customWidth="1"/>
    <col min="28" max="29" width="9.1796875" hidden="1" customWidth="1"/>
    <col min="30" max="30" width="6" hidden="1" customWidth="1"/>
    <col min="31" max="31" width="41.54296875" hidden="1" customWidth="1"/>
    <col min="32" max="32" width="12" hidden="1" customWidth="1"/>
    <col min="33" max="34" width="9.1796875" hidden="1" customWidth="1"/>
    <col min="35" max="35" width="6" hidden="1" customWidth="1"/>
    <col min="36" max="36" width="23.453125" hidden="1" customWidth="1"/>
    <col min="37" max="37" width="12" hidden="1" customWidth="1"/>
    <col min="38" max="16384" width="9.1796875" hidden="1"/>
  </cols>
  <sheetData>
    <row r="1" spans="1:26" x14ac:dyDescent="0.25"/>
    <row r="2" spans="1:26" x14ac:dyDescent="0.25">
      <c r="A2" s="859"/>
      <c r="B2" s="859"/>
      <c r="C2" s="859"/>
      <c r="D2" s="859"/>
      <c r="E2" s="859"/>
      <c r="F2" s="859"/>
      <c r="G2" s="859"/>
      <c r="H2" s="859"/>
      <c r="I2" s="859"/>
      <c r="J2" s="859"/>
      <c r="K2" s="859"/>
      <c r="L2" s="859"/>
      <c r="M2" s="859"/>
      <c r="N2" s="41"/>
      <c r="O2" s="41"/>
      <c r="P2" s="41"/>
    </row>
    <row r="3" spans="1:26" ht="14.5" thickBot="1" x14ac:dyDescent="0.35">
      <c r="A3" s="859"/>
      <c r="B3" s="41"/>
      <c r="C3" s="41"/>
      <c r="D3" s="41"/>
      <c r="E3" s="41"/>
      <c r="F3" s="41"/>
      <c r="G3" s="41"/>
      <c r="H3" s="41"/>
      <c r="I3" s="893" t="s">
        <v>951</v>
      </c>
      <c r="J3" s="893"/>
      <c r="K3" s="893"/>
      <c r="L3" s="893"/>
      <c r="M3" s="893"/>
      <c r="N3" s="893"/>
      <c r="O3" s="893"/>
      <c r="P3" s="41"/>
    </row>
    <row r="4" spans="1:26" ht="12.75" customHeight="1" x14ac:dyDescent="0.25">
      <c r="A4" s="859"/>
      <c r="B4" s="1923" t="s">
        <v>952</v>
      </c>
      <c r="C4" s="1923"/>
      <c r="D4" s="1923"/>
      <c r="E4" s="1923"/>
      <c r="F4" s="1923"/>
      <c r="G4" s="1923"/>
      <c r="H4" s="41"/>
      <c r="I4" s="859"/>
      <c r="J4" s="859"/>
      <c r="K4" s="859"/>
      <c r="L4" s="859"/>
      <c r="M4" s="859"/>
      <c r="N4" s="859"/>
      <c r="O4" s="859"/>
      <c r="P4" s="41"/>
    </row>
    <row r="5" spans="1:26" ht="12.75" customHeight="1" x14ac:dyDescent="0.25">
      <c r="A5" s="859"/>
      <c r="B5" s="1923"/>
      <c r="C5" s="1923"/>
      <c r="D5" s="1923"/>
      <c r="E5" s="1923"/>
      <c r="F5" s="1923"/>
      <c r="G5" s="1923"/>
      <c r="H5" s="41"/>
      <c r="I5" s="860"/>
      <c r="J5" s="861"/>
      <c r="K5" s="861"/>
      <c r="L5" s="861"/>
      <c r="M5" s="861"/>
      <c r="N5" s="861"/>
      <c r="O5" s="862"/>
      <c r="P5" s="41"/>
      <c r="U5" s="4" t="s">
        <v>800</v>
      </c>
    </row>
    <row r="6" spans="1:26" ht="23.25" customHeight="1" x14ac:dyDescent="0.5">
      <c r="A6" s="859"/>
      <c r="B6" s="1923"/>
      <c r="C6" s="1923"/>
      <c r="D6" s="1923"/>
      <c r="E6" s="1923"/>
      <c r="F6" s="1923"/>
      <c r="G6" s="1923"/>
      <c r="H6" s="41"/>
      <c r="I6" s="873"/>
      <c r="J6" s="875"/>
      <c r="K6" s="875" t="e">
        <f ca="1">VLOOKUP("Net Operating Emissions Intensity",INDIRECT($V$20 &amp; "[[Reporting Item]:[Value3]]"),3,FALSE)</f>
        <v>#N/A</v>
      </c>
      <c r="L6" s="876" t="e">
        <f ca="1">VLOOKUP("Net Operating Emissions Intensity",INDIRECT($V$20 &amp; "[[Reporting Item]:[Value3]]"),4,FALSE)</f>
        <v>#N/A</v>
      </c>
      <c r="M6" s="874"/>
      <c r="N6" s="874"/>
      <c r="O6" s="865"/>
      <c r="P6" s="41"/>
      <c r="U6" s="4" t="s">
        <v>801</v>
      </c>
      <c r="V6" s="4" t="s">
        <v>802</v>
      </c>
      <c r="W6" s="4" t="s">
        <v>953</v>
      </c>
    </row>
    <row r="7" spans="1:26" x14ac:dyDescent="0.25">
      <c r="A7" s="859"/>
      <c r="B7" s="1923"/>
      <c r="C7" s="1923"/>
      <c r="D7" s="1923"/>
      <c r="E7" s="1923"/>
      <c r="F7" s="1923"/>
      <c r="G7" s="1923"/>
      <c r="H7" s="41"/>
      <c r="I7" s="866"/>
      <c r="J7" s="867"/>
      <c r="K7" s="867"/>
      <c r="L7" s="867"/>
      <c r="M7" s="867"/>
      <c r="N7" s="867"/>
      <c r="O7" s="868"/>
      <c r="P7" s="41"/>
      <c r="U7" s="1498" t="str" cm="1">
        <f t="array" ref="U7:U14">'Hidden Lists and Summaries'!$B$65:$B$72</f>
        <v>Electrolysis</v>
      </c>
      <c r="V7" s="790" t="s">
        <v>805</v>
      </c>
      <c r="W7" s="923" t="s">
        <v>749</v>
      </c>
      <c r="Z7" s="9"/>
    </row>
    <row r="8" spans="1:26" x14ac:dyDescent="0.25">
      <c r="A8" s="859"/>
      <c r="B8" s="41"/>
      <c r="C8" s="41"/>
      <c r="D8" s="41"/>
      <c r="E8" s="41"/>
      <c r="F8" s="41"/>
      <c r="G8" s="41"/>
      <c r="H8" s="41"/>
      <c r="I8" s="859"/>
      <c r="J8" s="859"/>
      <c r="K8" s="859"/>
      <c r="L8" s="859"/>
      <c r="M8" s="859"/>
      <c r="N8" s="859"/>
      <c r="O8" s="859"/>
      <c r="P8" s="41"/>
      <c r="U8" s="1499" t="str">
        <v>Natural Gas Reforming</v>
      </c>
      <c r="V8" t="s">
        <v>806</v>
      </c>
      <c r="W8" s="261" t="s">
        <v>750</v>
      </c>
    </row>
    <row r="9" spans="1:26" ht="14.5" thickBot="1" x14ac:dyDescent="0.35">
      <c r="A9" s="859"/>
      <c r="B9" s="893" t="s">
        <v>954</v>
      </c>
      <c r="C9" s="893"/>
      <c r="D9" s="893"/>
      <c r="E9" s="893"/>
      <c r="F9" s="893"/>
      <c r="G9" s="893"/>
      <c r="H9" s="41"/>
      <c r="I9" s="893" t="s">
        <v>955</v>
      </c>
      <c r="J9" s="893"/>
      <c r="K9" s="893"/>
      <c r="L9" s="893"/>
      <c r="M9" s="893"/>
      <c r="N9" s="893"/>
      <c r="O9" s="893"/>
      <c r="P9" s="41"/>
      <c r="U9" s="1499" t="str">
        <v>Coal Gasification</v>
      </c>
      <c r="V9" t="s">
        <v>807</v>
      </c>
      <c r="W9" s="261" t="s">
        <v>751</v>
      </c>
    </row>
    <row r="10" spans="1:26" x14ac:dyDescent="0.25">
      <c r="A10" s="859"/>
      <c r="B10" s="859"/>
      <c r="C10" s="859"/>
      <c r="D10" s="859"/>
      <c r="E10" s="859"/>
      <c r="F10" s="859"/>
      <c r="G10" s="859"/>
      <c r="H10" s="41"/>
      <c r="I10" s="859"/>
      <c r="J10" s="859"/>
      <c r="K10" s="859"/>
      <c r="L10" s="859"/>
      <c r="M10" s="859"/>
      <c r="N10" s="859"/>
      <c r="O10" s="859"/>
      <c r="P10" s="41"/>
      <c r="U10" s="1499" t="str">
        <v>Ammonia Production</v>
      </c>
      <c r="V10" t="s">
        <v>956</v>
      </c>
      <c r="W10" s="261" t="s">
        <v>882</v>
      </c>
    </row>
    <row r="11" spans="1:26" x14ac:dyDescent="0.25">
      <c r="A11" s="859"/>
      <c r="B11" s="860"/>
      <c r="C11" s="861"/>
      <c r="D11" s="861"/>
      <c r="E11" s="861"/>
      <c r="F11" s="861"/>
      <c r="G11" s="862"/>
      <c r="H11" s="41"/>
      <c r="I11" s="860"/>
      <c r="J11" s="861"/>
      <c r="K11" s="861"/>
      <c r="L11" s="861"/>
      <c r="M11" s="861"/>
      <c r="N11" s="861"/>
      <c r="O11" s="862"/>
      <c r="P11" s="41"/>
      <c r="U11" s="1499" t="str">
        <v>Hydrogen Liquefaction</v>
      </c>
      <c r="V11" t="s">
        <v>957</v>
      </c>
      <c r="W11" s="261" t="s">
        <v>883</v>
      </c>
    </row>
    <row r="12" spans="1:26" ht="23" x14ac:dyDescent="0.5">
      <c r="A12" s="859"/>
      <c r="B12" s="869" t="s">
        <v>958</v>
      </c>
      <c r="C12" s="864"/>
      <c r="D12" s="864"/>
      <c r="E12" s="870" t="s">
        <v>959</v>
      </c>
      <c r="F12" s="864"/>
      <c r="G12" s="865"/>
      <c r="H12" s="41"/>
      <c r="I12" s="873"/>
      <c r="J12" s="875"/>
      <c r="K12" s="875" t="e">
        <f ca="1">VLOOKUP("Post-Production Emissions Intensity",INDIRECT($V$20 &amp; "[[Reporting Item]:[Value3]]"),3,FALSE)+VLOOKUP("Net Emissions Loss Correction",INDIRECT($V$20 &amp; "[[Reporting Item]:[Value3]]"),3,FALSE)</f>
        <v>#N/A</v>
      </c>
      <c r="L12" s="876" t="e">
        <f ca="1">VLOOKUP("Post-Production Emissions Intensity",INDIRECT($V$20 &amp; "[[Reporting Item]:[Value3]]"),4,FALSE)</f>
        <v>#N/A</v>
      </c>
      <c r="M12" s="874"/>
      <c r="N12" s="875"/>
      <c r="O12" s="865"/>
      <c r="P12" s="41"/>
      <c r="U12" s="1499" t="str">
        <v>LOHC - Hydrogenation</v>
      </c>
      <c r="V12" t="s">
        <v>960</v>
      </c>
      <c r="W12" s="261" t="s">
        <v>884</v>
      </c>
    </row>
    <row r="13" spans="1:26" ht="13" x14ac:dyDescent="0.3">
      <c r="A13" s="859"/>
      <c r="B13" s="877" t="str">
        <f>TEXT(iq_batchBegins,"dd/mm/yyyy")&amp;" - "&amp;TEXT(iq_batchEnd,"dd/mm/yyyy")</f>
        <v>00/01/1900 - 00/01/1900</v>
      </c>
      <c r="C13" s="864"/>
      <c r="D13" s="864"/>
      <c r="E13" s="872">
        <f>iq_selectedPathway</f>
        <v>0</v>
      </c>
      <c r="F13" s="864"/>
      <c r="G13" s="865"/>
      <c r="H13" s="41"/>
      <c r="I13" s="866"/>
      <c r="J13" s="867"/>
      <c r="K13" s="867"/>
      <c r="L13" s="867"/>
      <c r="M13" s="867"/>
      <c r="N13" s="867"/>
      <c r="O13" s="868"/>
      <c r="P13" s="41"/>
      <c r="U13" s="1499" t="str">
        <v>Ammonia Cracking</v>
      </c>
      <c r="V13" t="s">
        <v>961</v>
      </c>
      <c r="W13" s="261" t="s">
        <v>944</v>
      </c>
    </row>
    <row r="14" spans="1:26" ht="13" x14ac:dyDescent="0.3">
      <c r="A14" s="859"/>
      <c r="B14" s="863"/>
      <c r="C14" s="864"/>
      <c r="D14" s="864"/>
      <c r="E14" s="1692" t="s">
        <v>962</v>
      </c>
      <c r="F14" s="864"/>
      <c r="G14" s="865"/>
      <c r="H14" s="41"/>
      <c r="I14" s="41"/>
      <c r="J14" s="41"/>
      <c r="K14" s="41"/>
      <c r="L14" s="41"/>
      <c r="M14" s="41"/>
      <c r="N14" s="41"/>
      <c r="O14" s="41"/>
      <c r="P14" s="41"/>
      <c r="U14" s="1500" t="str">
        <v>LOHC - Dehydrogenation</v>
      </c>
      <c r="V14" s="322" t="s">
        <v>963</v>
      </c>
      <c r="W14" s="924" t="s">
        <v>945</v>
      </c>
    </row>
    <row r="15" spans="1:26" ht="14.5" thickBot="1" x14ac:dyDescent="0.35">
      <c r="A15" s="859"/>
      <c r="B15" s="869" t="s">
        <v>964</v>
      </c>
      <c r="C15" s="864"/>
      <c r="D15" s="864"/>
      <c r="E15" s="1692">
        <f>iq_conditioningProcess</f>
        <v>0</v>
      </c>
      <c r="F15" s="870"/>
      <c r="G15" s="865"/>
      <c r="H15" s="41"/>
      <c r="I15" s="893" t="s">
        <v>965</v>
      </c>
      <c r="J15" s="893"/>
      <c r="K15" s="893"/>
      <c r="L15" s="893"/>
      <c r="M15" s="893"/>
      <c r="N15" s="893"/>
      <c r="O15" s="893"/>
      <c r="P15" s="41"/>
    </row>
    <row r="16" spans="1:26" ht="13" x14ac:dyDescent="0.3">
      <c r="A16" s="859"/>
      <c r="B16" s="877">
        <f>iq_name</f>
        <v>0</v>
      </c>
      <c r="C16" s="864"/>
      <c r="D16" s="864"/>
      <c r="E16" s="1692" t="s">
        <v>966</v>
      </c>
      <c r="F16" s="872"/>
      <c r="G16" s="865"/>
      <c r="H16" s="41"/>
      <c r="I16" s="859"/>
      <c r="J16" s="859"/>
      <c r="K16" s="859"/>
      <c r="L16" s="859"/>
      <c r="M16" s="859"/>
      <c r="N16" s="859"/>
      <c r="O16" s="859"/>
      <c r="P16" s="41"/>
    </row>
    <row r="17" spans="1:42" ht="13" x14ac:dyDescent="0.3">
      <c r="A17" s="859"/>
      <c r="B17" s="863"/>
      <c r="C17" s="864"/>
      <c r="D17" s="864"/>
      <c r="E17" s="1692">
        <f>iq_downstreamProcess</f>
        <v>0</v>
      </c>
      <c r="F17" s="864"/>
      <c r="G17" s="865"/>
      <c r="H17" s="41"/>
      <c r="I17" s="860"/>
      <c r="J17" s="861"/>
      <c r="K17" s="861"/>
      <c r="L17" s="861"/>
      <c r="M17" s="861"/>
      <c r="N17" s="861"/>
      <c r="O17" s="862"/>
      <c r="P17" s="41"/>
    </row>
    <row r="18" spans="1:42" ht="23" x14ac:dyDescent="0.5">
      <c r="A18" s="859"/>
      <c r="B18" s="869" t="s">
        <v>967</v>
      </c>
      <c r="C18" s="864"/>
      <c r="D18" s="864"/>
      <c r="E18" s="870" t="s">
        <v>968</v>
      </c>
      <c r="F18" s="864"/>
      <c r="G18" s="865"/>
      <c r="H18" s="41"/>
      <c r="I18" s="873"/>
      <c r="J18" s="875"/>
      <c r="K18" s="875" t="e">
        <f ca="1">VLOOKUP("Net Overall Emissions Intensity",INDIRECT($V$20 &amp; "[[Reporting Item]:[Value3]]"),3,FALSE)</f>
        <v>#N/A</v>
      </c>
      <c r="L18" s="876" t="e">
        <f ca="1">VLOOKUP("Net Operating Emissions Intensity",INDIRECT($V$20 &amp; "[[Reporting Item]:[Value3]]"),4,FALSE)</f>
        <v>#N/A</v>
      </c>
      <c r="M18" s="874"/>
      <c r="N18" s="875"/>
      <c r="O18" s="865"/>
      <c r="P18" s="41"/>
    </row>
    <row r="19" spans="1:42" ht="15.5" x14ac:dyDescent="0.3">
      <c r="A19" s="859"/>
      <c r="B19" s="877" t="str">
        <f xml:space="preserve"> IF(iq_metro="Yes", "Metro", "Non-Metro") &amp; " - " &amp; iq_location</f>
        <v xml:space="preserve">Non-Metro - </v>
      </c>
      <c r="C19" s="864"/>
      <c r="D19" s="864"/>
      <c r="E19" s="1567">
        <f>IFERROR(Overall_Renewables*100,0)</f>
        <v>0</v>
      </c>
      <c r="F19" s="872" t="s">
        <v>409</v>
      </c>
      <c r="G19" s="865"/>
      <c r="H19" s="41"/>
      <c r="I19" s="866"/>
      <c r="J19" s="867"/>
      <c r="K19" s="867"/>
      <c r="L19" s="867"/>
      <c r="M19" s="867"/>
      <c r="N19" s="867"/>
      <c r="O19" s="868"/>
      <c r="P19" s="41"/>
      <c r="U19" s="4" t="s">
        <v>969</v>
      </c>
      <c r="V19" s="4" t="s">
        <v>970</v>
      </c>
    </row>
    <row r="20" spans="1:42" x14ac:dyDescent="0.25">
      <c r="A20" s="859"/>
      <c r="B20" s="866"/>
      <c r="C20" s="867"/>
      <c r="D20" s="867"/>
      <c r="E20" s="867"/>
      <c r="F20" s="867"/>
      <c r="G20" s="868"/>
      <c r="H20" s="41"/>
      <c r="P20" s="41"/>
      <c r="U20" s="920" cm="1">
        <f t="array" ref="U20">_xlfn.IFS(iq_primaryProduct='Hidden Lists and Summaries'!$B$37,IF(iq_downStreamIncluded, iq_downstreamProcess, iq_selectedPathway),iq_primaryProduct='Hidden Lists and Summaries'!$B$38,'Hidden Lists and Summaries'!$B$45,iq_primaryProduct='Hidden Lists and Summaries'!$B$39,'Hidden Lists and Summaries'!$B$44,TRUE,'Hidden Lists and Summaries'!$B$46)</f>
        <v>0</v>
      </c>
      <c r="V20" s="922" t="e">
        <f>VLOOKUP(U20,U7:W14,3,FALSE)</f>
        <v>#N/A</v>
      </c>
    </row>
    <row r="21" spans="1:42" ht="14.5" thickBot="1" x14ac:dyDescent="0.35">
      <c r="A21" s="859"/>
      <c r="H21" s="41"/>
      <c r="I21" s="871" t="str">
        <f>"Primary production - " &amp; iq_primaryProduct &amp; " information"</f>
        <v>Primary production - Hydrogen information</v>
      </c>
      <c r="J21" s="871"/>
      <c r="K21" s="871"/>
      <c r="L21" s="871"/>
      <c r="M21" s="871"/>
      <c r="N21" s="871"/>
      <c r="O21" s="871"/>
      <c r="P21" s="41"/>
    </row>
    <row r="22" spans="1:42" ht="16" thickBot="1" x14ac:dyDescent="0.35">
      <c r="A22" s="859"/>
      <c r="B22" s="893" t="s">
        <v>971</v>
      </c>
      <c r="C22" s="893"/>
      <c r="D22" s="893"/>
      <c r="E22" s="893"/>
      <c r="F22" s="893"/>
      <c r="G22" s="893"/>
      <c r="H22" s="41"/>
      <c r="I22" s="859"/>
      <c r="J22" s="859"/>
      <c r="K22" s="859"/>
      <c r="L22" s="859"/>
      <c r="M22" s="859"/>
      <c r="N22" s="859"/>
      <c r="O22" s="859"/>
      <c r="P22" s="41"/>
      <c r="U22" s="4" t="s">
        <v>972</v>
      </c>
    </row>
    <row r="23" spans="1:42" x14ac:dyDescent="0.25">
      <c r="B23" s="859"/>
      <c r="C23" s="859"/>
      <c r="D23" s="859"/>
      <c r="E23" s="859"/>
      <c r="F23" s="859"/>
      <c r="G23" s="859"/>
      <c r="I23" s="860"/>
      <c r="J23" s="861"/>
      <c r="K23" s="861"/>
      <c r="L23" s="861"/>
      <c r="M23" s="861"/>
      <c r="N23" s="861"/>
      <c r="O23" s="862"/>
      <c r="U23" s="533" t="e">
        <f>VLOOKUP(U20,U7:V14,2,FALSE)</f>
        <v>#N/A</v>
      </c>
    </row>
    <row r="24" spans="1:42" ht="15.5" x14ac:dyDescent="0.35">
      <c r="B24" s="860"/>
      <c r="C24" s="861"/>
      <c r="D24" s="861"/>
      <c r="E24" s="861"/>
      <c r="F24" s="861"/>
      <c r="G24" s="862"/>
      <c r="I24" s="1926" t="str">
        <f>"Quantity of " &amp; LOWER(iq_primaryProduct) &amp; " produced"</f>
        <v>Quantity of hydrogen produced</v>
      </c>
      <c r="J24" s="1927"/>
      <c r="K24" s="1924" t="e">
        <f ca="1">VLOOKUP("Batch Quantity",INDIRECT($V$20 &amp; "[[Reporting Item]:[Value3]]"),3,FALSE)</f>
        <v>#N/A</v>
      </c>
      <c r="L24" s="1924"/>
      <c r="M24" s="872" t="e">
        <f ca="1">VLOOKUP("Batch Quantity",INDIRECT($V$20 &amp; "[[Reporting Item]:[Value3]]"),4,FALSE)</f>
        <v>#N/A</v>
      </c>
      <c r="N24" s="864"/>
      <c r="O24" s="865"/>
      <c r="T24" s="4" t="s">
        <v>483</v>
      </c>
      <c r="U24" t="s">
        <v>484</v>
      </c>
      <c r="Y24" s="4" t="s">
        <v>483</v>
      </c>
      <c r="Z24" t="s">
        <v>487</v>
      </c>
      <c r="AD24" s="4" t="s">
        <v>483</v>
      </c>
      <c r="AE24" t="s">
        <v>489</v>
      </c>
      <c r="AI24" s="1543" t="s">
        <v>483</v>
      </c>
      <c r="AJ24" t="s">
        <v>492</v>
      </c>
      <c r="AN24" s="1543" t="s">
        <v>483</v>
      </c>
      <c r="AO24" t="s">
        <v>973</v>
      </c>
    </row>
    <row r="25" spans="1:42" ht="13" x14ac:dyDescent="0.3">
      <c r="B25" s="869" t="s">
        <v>491</v>
      </c>
      <c r="C25" s="870"/>
      <c r="D25" s="870"/>
      <c r="E25" s="870" t="s">
        <v>493</v>
      </c>
      <c r="F25" s="864"/>
      <c r="G25" s="865"/>
      <c r="I25" s="1926"/>
      <c r="J25" s="1927"/>
      <c r="K25" s="864"/>
      <c r="L25" s="864"/>
      <c r="M25" s="864"/>
      <c r="N25" s="864"/>
      <c r="O25" s="865"/>
      <c r="U25" t="e" cm="1">
        <f t="array" aca="1" ref="U25" ca="1">_xlfn._xlws.FILTER(INDIRECT($U$23 &amp; "[[Breakdown sub category]]"),INDIRECT($U$23 &amp; "[Graph]")=U24)</f>
        <v>#N/A</v>
      </c>
      <c r="V25" t="e" cm="1">
        <f t="array" aca="1" ref="V25" ca="1">_xlfn._xlws.FILTER(INDIRECT($U$23 &amp; "[[Emissions (kg CO2-e)]]"),INDIRECT($U$23 &amp; "[Graph]")=U24)</f>
        <v>#N/A</v>
      </c>
      <c r="Z25" t="e" cm="1">
        <f t="array" aca="1" ref="Z25" ca="1">_xlfn._xlws.FILTER(INDIRECT($U$23 &amp; "[[Major category]]"),INDIRECT($U$23 &amp; "[Graph]")=Z24)</f>
        <v>#N/A</v>
      </c>
      <c r="AA25" t="e" cm="1">
        <f t="array" aca="1" ref="AA25" ca="1">_xlfn._xlws.FILTER(INDIRECT($U$23 &amp; "[[Emissions (kg CO2-e)]]"),INDIRECT($U$23 &amp; "[Graph]")=Z24)</f>
        <v>#N/A</v>
      </c>
      <c r="AE25" t="e" cm="1">
        <f t="array" aca="1" ref="AE25" ca="1">_xlfn._xlws.FILTER(INDIRECT($U$23 &amp; "[[Major category]]"),INDIRECT($U$23 &amp; "[Graph]")=AE24)</f>
        <v>#N/A</v>
      </c>
      <c r="AF25" t="e" cm="1">
        <f t="array" aca="1" ref="AF25" ca="1">_xlfn._xlws.FILTER(INDIRECT($U$23 &amp; "[[Emissions (kg CO2-e)]]"),INDIRECT($U$23 &amp; "[Graph]")=AE24)</f>
        <v>#N/A</v>
      </c>
      <c r="AJ25" t="e" cm="1">
        <f t="array" aca="1" ref="AJ25" ca="1">_xlfn._xlws.FILTER(INDIRECT($U$23 &amp; "[[Major category]]"),INDIRECT($U$23 &amp; "[Graph]")=AJ24)</f>
        <v>#N/A</v>
      </c>
      <c r="AK25" t="e" cm="1">
        <f t="array" aca="1" ref="AK25" ca="1">_xlfn._xlws.FILTER(INDIRECT($U$23 &amp; "[[Emissions (kg CO2-e)]]"),INDIRECT($U$23 &amp; "[Graph]")=AJ24)</f>
        <v>#N/A</v>
      </c>
      <c r="AO25" t="e" cm="1">
        <f t="array" aca="1" ref="AO25" ca="1">_xlfn._xlws.FILTER(INDIRECT($U$23 &amp; "[[Major category]]"),INDIRECT($U$23 &amp; "[Graph]")=AO24)</f>
        <v>#N/A</v>
      </c>
      <c r="AP25" t="e" cm="1">
        <f t="array" aca="1" ref="AP25" ca="1">_xlfn._xlws.FILTER(INDIRECT($U$23 &amp; "[[Emissions (kg CO2-e)]]"),INDIRECT($U$23 &amp; "[Graph]")=AO24)</f>
        <v>#N/A</v>
      </c>
    </row>
    <row r="26" spans="1:42" ht="13" x14ac:dyDescent="0.3">
      <c r="B26" s="877" t="str">
        <f>'Transport &amp; Storage - Hydrogen'!H125</f>
        <v>Dedicated pipeline</v>
      </c>
      <c r="C26" s="864"/>
      <c r="D26" s="864"/>
      <c r="E26" s="864"/>
      <c r="F26" s="864"/>
      <c r="G26" s="865"/>
      <c r="I26" s="1926" t="str">
        <f>"Purity of " &amp; LOWER(iq_primaryProduct) &amp; " produced"</f>
        <v>Purity of hydrogen produced</v>
      </c>
      <c r="J26" s="1927"/>
      <c r="K26" s="1925" t="e">
        <f ca="1">VLOOKUP("Purity at gate",INDIRECT($V$20 &amp; "[[Reporting Item]:[Value3]]"),3,FALSE)*100</f>
        <v>#N/A</v>
      </c>
      <c r="L26" s="1925"/>
      <c r="M26" s="872" t="e">
        <f ca="1">VLOOKUP("Purity at gate",INDIRECT($V$20 &amp; "[[Reporting Item]:[Value3]]"),4,FALSE)</f>
        <v>#N/A</v>
      </c>
      <c r="N26" s="864"/>
      <c r="O26" s="865"/>
    </row>
    <row r="27" spans="1:42" x14ac:dyDescent="0.25">
      <c r="B27" s="863"/>
      <c r="C27" s="864"/>
      <c r="D27" s="864"/>
      <c r="E27" s="864"/>
      <c r="F27" s="864"/>
      <c r="G27" s="865"/>
      <c r="I27" s="1926"/>
      <c r="J27" s="1927"/>
      <c r="K27" s="864"/>
      <c r="L27" s="864"/>
      <c r="M27" s="864"/>
      <c r="N27" s="864"/>
      <c r="O27" s="865"/>
    </row>
    <row r="28" spans="1:42" ht="13" x14ac:dyDescent="0.3">
      <c r="B28" s="877" t="s">
        <v>974</v>
      </c>
      <c r="C28" s="872" t="str">
        <f>'Transport &amp; Storage - Hydrogen'!H126&amp;" km"</f>
        <v>Distance not provided as part of method km</v>
      </c>
      <c r="D28" s="864"/>
      <c r="E28" s="872" t="s">
        <v>975</v>
      </c>
      <c r="F28" s="872" t="str">
        <f>'Transport &amp; Storage - Hydrogen'!H127&amp;" days"</f>
        <v>0 days</v>
      </c>
      <c r="G28" s="865"/>
      <c r="I28" s="1926" t="str">
        <f>"Quantity of " &amp; LOWER(iq_primaryProduct) &amp;" delivered"</f>
        <v>Quantity of hydrogen delivered</v>
      </c>
      <c r="J28" s="1927"/>
      <c r="K28" s="1924" t="e">
        <f ca="1">VLOOKUP("Product Delivered",INDIRECT($V$20 &amp; "[[Reporting Item]:[Value3]]"),3,FALSE)</f>
        <v>#N/A</v>
      </c>
      <c r="L28" s="1924"/>
      <c r="M28" s="872" t="e">
        <f ca="1">VLOOKUP("Product Delivered",INDIRECT($V$20 &amp; "[[Reporting Item]:[Value3]]"),4,FALSE)</f>
        <v>#N/A</v>
      </c>
      <c r="N28" s="864"/>
      <c r="O28" s="865"/>
    </row>
    <row r="29" spans="1:42" x14ac:dyDescent="0.25">
      <c r="A29" s="859"/>
      <c r="B29" s="866"/>
      <c r="C29" s="867"/>
      <c r="D29" s="867"/>
      <c r="E29" s="867"/>
      <c r="F29" s="867"/>
      <c r="G29" s="868"/>
      <c r="I29" s="1928"/>
      <c r="J29" s="1929"/>
      <c r="K29" s="867"/>
      <c r="L29" s="867"/>
      <c r="M29" s="867"/>
      <c r="N29" s="867"/>
      <c r="O29" s="868"/>
      <c r="P29" s="41"/>
    </row>
    <row r="30" spans="1:42" x14ac:dyDescent="0.25">
      <c r="A30" s="859"/>
      <c r="B30" s="859"/>
      <c r="C30" s="859"/>
      <c r="D30" s="859"/>
      <c r="E30" s="859"/>
      <c r="F30" s="859"/>
      <c r="G30" s="859"/>
      <c r="H30" s="859"/>
      <c r="I30" s="41"/>
      <c r="J30" s="41"/>
      <c r="K30" s="41"/>
      <c r="L30" s="41"/>
      <c r="M30" s="41"/>
      <c r="N30" s="41"/>
      <c r="O30" s="41"/>
      <c r="P30" s="41"/>
    </row>
    <row r="31" spans="1:42" x14ac:dyDescent="0.25">
      <c r="A31" s="859"/>
      <c r="B31" s="860"/>
      <c r="C31" s="861"/>
      <c r="D31" s="861"/>
      <c r="E31" s="861"/>
      <c r="F31" s="861"/>
      <c r="G31" s="861"/>
      <c r="H31" s="861"/>
      <c r="I31" s="861"/>
      <c r="J31" s="861"/>
      <c r="K31" s="861"/>
      <c r="L31" s="861"/>
      <c r="M31" s="861"/>
      <c r="N31" s="861"/>
      <c r="O31" s="862"/>
      <c r="P31" s="41"/>
    </row>
    <row r="32" spans="1:42" x14ac:dyDescent="0.25">
      <c r="A32" s="859"/>
      <c r="B32" s="863"/>
      <c r="C32" s="864"/>
      <c r="D32" s="864"/>
      <c r="E32" s="864"/>
      <c r="F32" s="864"/>
      <c r="G32" s="864"/>
      <c r="H32" s="864"/>
      <c r="I32" s="864"/>
      <c r="J32" s="864"/>
      <c r="K32" s="864"/>
      <c r="L32" s="864"/>
      <c r="M32" s="864"/>
      <c r="N32" s="864"/>
      <c r="O32" s="865"/>
      <c r="P32" s="41"/>
    </row>
    <row r="33" spans="1:16" x14ac:dyDescent="0.25">
      <c r="A33" s="859"/>
      <c r="B33" s="863"/>
      <c r="C33" s="864"/>
      <c r="D33" s="864"/>
      <c r="E33" s="864"/>
      <c r="F33" s="864"/>
      <c r="G33" s="864"/>
      <c r="H33" s="864"/>
      <c r="I33" s="864"/>
      <c r="J33" s="864"/>
      <c r="K33" s="864"/>
      <c r="L33" s="864"/>
      <c r="M33" s="864"/>
      <c r="N33" s="864"/>
      <c r="O33" s="865"/>
      <c r="P33" s="41"/>
    </row>
    <row r="34" spans="1:16" x14ac:dyDescent="0.25">
      <c r="A34" s="859"/>
      <c r="B34" s="863"/>
      <c r="C34" s="864"/>
      <c r="D34" s="864"/>
      <c r="E34" s="864"/>
      <c r="F34" s="864"/>
      <c r="G34" s="864"/>
      <c r="H34" s="864"/>
      <c r="I34" s="864"/>
      <c r="J34" s="864"/>
      <c r="K34" s="864"/>
      <c r="L34" s="864"/>
      <c r="M34" s="864"/>
      <c r="N34" s="864"/>
      <c r="O34" s="865"/>
      <c r="P34" s="41"/>
    </row>
    <row r="35" spans="1:16" x14ac:dyDescent="0.25">
      <c r="A35" s="859"/>
      <c r="B35" s="863"/>
      <c r="C35" s="864"/>
      <c r="D35" s="864"/>
      <c r="E35" s="864"/>
      <c r="F35" s="864"/>
      <c r="G35" s="864"/>
      <c r="H35" s="864"/>
      <c r="I35" s="864"/>
      <c r="J35" s="864"/>
      <c r="K35" s="864"/>
      <c r="L35" s="864"/>
      <c r="M35" s="864"/>
      <c r="N35" s="864"/>
      <c r="O35" s="865"/>
      <c r="P35" s="41"/>
    </row>
    <row r="36" spans="1:16" x14ac:dyDescent="0.25">
      <c r="A36" s="859"/>
      <c r="B36" s="863"/>
      <c r="C36" s="864"/>
      <c r="D36" s="864"/>
      <c r="E36" s="864"/>
      <c r="F36" s="864"/>
      <c r="G36" s="864"/>
      <c r="H36" s="864"/>
      <c r="I36" s="864"/>
      <c r="J36" s="864"/>
      <c r="K36" s="864"/>
      <c r="L36" s="864"/>
      <c r="M36" s="864"/>
      <c r="N36" s="864"/>
      <c r="O36" s="865"/>
      <c r="P36" s="41"/>
    </row>
    <row r="37" spans="1:16" x14ac:dyDescent="0.25">
      <c r="A37" s="859"/>
      <c r="B37" s="863"/>
      <c r="C37" s="864"/>
      <c r="D37" s="864"/>
      <c r="E37" s="864"/>
      <c r="F37" s="864"/>
      <c r="G37" s="864"/>
      <c r="H37" s="864"/>
      <c r="I37" s="864"/>
      <c r="J37" s="864"/>
      <c r="K37" s="864"/>
      <c r="L37" s="864"/>
      <c r="M37" s="864"/>
      <c r="N37" s="864"/>
      <c r="O37" s="865"/>
      <c r="P37" s="41"/>
    </row>
    <row r="38" spans="1:16" x14ac:dyDescent="0.25">
      <c r="A38" s="859"/>
      <c r="B38" s="863"/>
      <c r="C38" s="864"/>
      <c r="D38" s="864"/>
      <c r="E38" s="864"/>
      <c r="F38" s="864"/>
      <c r="G38" s="864"/>
      <c r="H38" s="864"/>
      <c r="I38" s="864"/>
      <c r="J38" s="864"/>
      <c r="K38" s="864"/>
      <c r="L38" s="864"/>
      <c r="M38" s="864"/>
      <c r="N38" s="864"/>
      <c r="O38" s="865"/>
      <c r="P38" s="41"/>
    </row>
    <row r="39" spans="1:16" x14ac:dyDescent="0.25">
      <c r="A39" s="859"/>
      <c r="B39" s="863"/>
      <c r="C39" s="864"/>
      <c r="D39" s="864"/>
      <c r="E39" s="864"/>
      <c r="F39" s="864"/>
      <c r="G39" s="864"/>
      <c r="H39" s="864"/>
      <c r="I39" s="864"/>
      <c r="J39" s="864"/>
      <c r="K39" s="864"/>
      <c r="L39" s="864"/>
      <c r="M39" s="864"/>
      <c r="N39" s="864"/>
      <c r="O39" s="865"/>
      <c r="P39" s="41"/>
    </row>
    <row r="40" spans="1:16" x14ac:dyDescent="0.25">
      <c r="A40" s="859"/>
      <c r="B40" s="863"/>
      <c r="C40" s="864"/>
      <c r="D40" s="864"/>
      <c r="E40" s="864"/>
      <c r="F40" s="864"/>
      <c r="G40" s="864"/>
      <c r="H40" s="864"/>
      <c r="I40" s="864"/>
      <c r="J40" s="864"/>
      <c r="K40" s="864"/>
      <c r="L40" s="864"/>
      <c r="M40" s="864"/>
      <c r="N40" s="864"/>
      <c r="O40" s="865"/>
      <c r="P40" s="41"/>
    </row>
    <row r="41" spans="1:16" x14ac:dyDescent="0.25">
      <c r="A41" s="859"/>
      <c r="B41" s="863"/>
      <c r="C41" s="864"/>
      <c r="D41" s="864"/>
      <c r="E41" s="864"/>
      <c r="F41" s="864"/>
      <c r="G41" s="864"/>
      <c r="H41" s="864"/>
      <c r="I41" s="864"/>
      <c r="J41" s="864"/>
      <c r="K41" s="864"/>
      <c r="L41" s="864"/>
      <c r="M41" s="864"/>
      <c r="N41" s="864"/>
      <c r="O41" s="865"/>
      <c r="P41" s="41"/>
    </row>
    <row r="42" spans="1:16" x14ac:dyDescent="0.25">
      <c r="A42" s="859"/>
      <c r="B42" s="863"/>
      <c r="C42" s="864"/>
      <c r="D42" s="864"/>
      <c r="E42" s="864"/>
      <c r="F42" s="864"/>
      <c r="G42" s="864"/>
      <c r="H42" s="864"/>
      <c r="I42" s="864"/>
      <c r="J42" s="864"/>
      <c r="K42" s="864"/>
      <c r="L42" s="864"/>
      <c r="M42" s="864"/>
      <c r="N42" s="864"/>
      <c r="O42" s="865"/>
      <c r="P42" s="41"/>
    </row>
    <row r="43" spans="1:16" x14ac:dyDescent="0.25">
      <c r="A43" s="859"/>
      <c r="B43" s="863"/>
      <c r="C43" s="864"/>
      <c r="D43" s="864"/>
      <c r="E43" s="864"/>
      <c r="F43" s="864"/>
      <c r="G43" s="864"/>
      <c r="H43" s="864"/>
      <c r="I43" s="864"/>
      <c r="J43" s="864"/>
      <c r="K43" s="864"/>
      <c r="L43" s="864"/>
      <c r="M43" s="864"/>
      <c r="N43" s="864"/>
      <c r="O43" s="865"/>
      <c r="P43" s="41"/>
    </row>
    <row r="44" spans="1:16" x14ac:dyDescent="0.25">
      <c r="A44" s="859"/>
      <c r="B44" s="863"/>
      <c r="C44" s="864"/>
      <c r="D44" s="864"/>
      <c r="E44" s="864"/>
      <c r="F44" s="864"/>
      <c r="G44" s="864"/>
      <c r="H44" s="864"/>
      <c r="I44" s="864"/>
      <c r="J44" s="864"/>
      <c r="K44" s="864"/>
      <c r="L44" s="864"/>
      <c r="M44" s="864"/>
      <c r="N44" s="864"/>
      <c r="O44" s="865"/>
      <c r="P44" s="41"/>
    </row>
    <row r="45" spans="1:16" x14ac:dyDescent="0.25">
      <c r="A45" s="859"/>
      <c r="B45" s="863"/>
      <c r="C45" s="864"/>
      <c r="D45" s="864"/>
      <c r="E45" s="864"/>
      <c r="F45" s="864"/>
      <c r="G45" s="864"/>
      <c r="H45" s="864"/>
      <c r="I45" s="864"/>
      <c r="J45" s="864"/>
      <c r="K45" s="864"/>
      <c r="L45" s="864"/>
      <c r="M45" s="864"/>
      <c r="N45" s="864"/>
      <c r="O45" s="865"/>
      <c r="P45" s="41"/>
    </row>
    <row r="46" spans="1:16" x14ac:dyDescent="0.25">
      <c r="A46" s="859"/>
      <c r="B46" s="863"/>
      <c r="C46" s="864"/>
      <c r="D46" s="864"/>
      <c r="E46" s="864"/>
      <c r="F46" s="864"/>
      <c r="G46" s="864"/>
      <c r="H46" s="864"/>
      <c r="I46" s="864"/>
      <c r="J46" s="864"/>
      <c r="K46" s="864"/>
      <c r="L46" s="864"/>
      <c r="M46" s="864"/>
      <c r="N46" s="864"/>
      <c r="O46" s="865"/>
      <c r="P46" s="41"/>
    </row>
    <row r="47" spans="1:16" x14ac:dyDescent="0.25">
      <c r="A47" s="859"/>
      <c r="B47" s="863"/>
      <c r="C47" s="864"/>
      <c r="D47" s="864"/>
      <c r="E47" s="864"/>
      <c r="F47" s="864"/>
      <c r="G47" s="864"/>
      <c r="H47" s="864"/>
      <c r="I47" s="864"/>
      <c r="J47" s="864"/>
      <c r="K47" s="864"/>
      <c r="L47" s="864"/>
      <c r="M47" s="864"/>
      <c r="N47" s="864"/>
      <c r="O47" s="865"/>
      <c r="P47" s="41"/>
    </row>
    <row r="48" spans="1:16" x14ac:dyDescent="0.25">
      <c r="A48" s="859"/>
      <c r="B48" s="863"/>
      <c r="C48" s="864"/>
      <c r="D48" s="864"/>
      <c r="E48" s="864"/>
      <c r="F48" s="864"/>
      <c r="G48" s="864"/>
      <c r="H48" s="864"/>
      <c r="I48" s="864"/>
      <c r="J48" s="864"/>
      <c r="K48" s="864"/>
      <c r="L48" s="864"/>
      <c r="M48" s="864"/>
      <c r="N48" s="864"/>
      <c r="O48" s="865"/>
      <c r="P48" s="41"/>
    </row>
    <row r="49" spans="1:16" x14ac:dyDescent="0.25">
      <c r="A49" s="859"/>
      <c r="B49" s="863"/>
      <c r="C49" s="864"/>
      <c r="D49" s="864"/>
      <c r="E49" s="864"/>
      <c r="F49" s="864"/>
      <c r="G49" s="864"/>
      <c r="H49" s="864"/>
      <c r="I49" s="864"/>
      <c r="J49" s="864"/>
      <c r="K49" s="864"/>
      <c r="L49" s="864"/>
      <c r="M49" s="864"/>
      <c r="N49" s="864"/>
      <c r="O49" s="865"/>
      <c r="P49" s="41"/>
    </row>
    <row r="50" spans="1:16" x14ac:dyDescent="0.25">
      <c r="A50" s="859"/>
      <c r="B50" s="863"/>
      <c r="C50" s="864"/>
      <c r="D50" s="864"/>
      <c r="E50" s="864"/>
      <c r="F50" s="864"/>
      <c r="G50" s="864"/>
      <c r="H50" s="864"/>
      <c r="I50" s="864"/>
      <c r="J50" s="864"/>
      <c r="K50" s="864"/>
      <c r="L50" s="864"/>
      <c r="M50" s="864"/>
      <c r="N50" s="864"/>
      <c r="O50" s="865"/>
      <c r="P50" s="41"/>
    </row>
    <row r="51" spans="1:16" x14ac:dyDescent="0.25">
      <c r="A51" s="859"/>
      <c r="B51" s="863"/>
      <c r="C51" s="864"/>
      <c r="D51" s="864"/>
      <c r="E51" s="864"/>
      <c r="F51" s="864"/>
      <c r="G51" s="864"/>
      <c r="H51" s="864"/>
      <c r="I51" s="864"/>
      <c r="J51" s="864"/>
      <c r="K51" s="864"/>
      <c r="L51" s="864"/>
      <c r="M51" s="864"/>
      <c r="N51" s="864"/>
      <c r="O51" s="865"/>
      <c r="P51" s="41"/>
    </row>
    <row r="52" spans="1:16" x14ac:dyDescent="0.25">
      <c r="A52" s="859"/>
      <c r="B52" s="863"/>
      <c r="C52" s="864"/>
      <c r="D52" s="864"/>
      <c r="E52" s="864"/>
      <c r="F52" s="864"/>
      <c r="G52" s="864"/>
      <c r="H52" s="864"/>
      <c r="I52" s="864"/>
      <c r="J52" s="864"/>
      <c r="K52" s="864"/>
      <c r="L52" s="864"/>
      <c r="M52" s="864"/>
      <c r="N52" s="864"/>
      <c r="O52" s="865"/>
      <c r="P52" s="41"/>
    </row>
    <row r="53" spans="1:16" x14ac:dyDescent="0.25">
      <c r="A53" s="859"/>
      <c r="B53" s="863"/>
      <c r="C53" s="864"/>
      <c r="D53" s="864"/>
      <c r="E53" s="864"/>
      <c r="F53" s="864"/>
      <c r="G53" s="864"/>
      <c r="H53" s="864"/>
      <c r="I53" s="864"/>
      <c r="J53" s="864"/>
      <c r="K53" s="864"/>
      <c r="L53" s="864"/>
      <c r="M53" s="864"/>
      <c r="N53" s="864"/>
      <c r="O53" s="865"/>
      <c r="P53" s="41"/>
    </row>
    <row r="54" spans="1:16" x14ac:dyDescent="0.25">
      <c r="A54" s="859"/>
      <c r="B54" s="863"/>
      <c r="C54" s="864"/>
      <c r="D54" s="864"/>
      <c r="E54" s="864"/>
      <c r="F54" s="864"/>
      <c r="G54" s="864"/>
      <c r="H54" s="864"/>
      <c r="I54" s="864"/>
      <c r="J54" s="864"/>
      <c r="K54" s="864"/>
      <c r="L54" s="864"/>
      <c r="M54" s="864"/>
      <c r="N54" s="864"/>
      <c r="O54" s="865"/>
      <c r="P54" s="41"/>
    </row>
    <row r="55" spans="1:16" x14ac:dyDescent="0.25">
      <c r="A55" s="859"/>
      <c r="B55" s="863"/>
      <c r="C55" s="864"/>
      <c r="D55" s="864"/>
      <c r="E55" s="864"/>
      <c r="F55" s="864"/>
      <c r="G55" s="864"/>
      <c r="H55" s="864"/>
      <c r="I55" s="864"/>
      <c r="J55" s="864"/>
      <c r="K55" s="864"/>
      <c r="L55" s="864"/>
      <c r="M55" s="864"/>
      <c r="N55" s="864"/>
      <c r="O55" s="865"/>
      <c r="P55" s="41"/>
    </row>
    <row r="56" spans="1:16" x14ac:dyDescent="0.25">
      <c r="A56" s="859"/>
      <c r="B56" s="863"/>
      <c r="C56" s="864"/>
      <c r="D56" s="864"/>
      <c r="E56" s="864"/>
      <c r="F56" s="864"/>
      <c r="G56" s="864"/>
      <c r="H56" s="864"/>
      <c r="I56" s="864"/>
      <c r="J56" s="864"/>
      <c r="K56" s="864"/>
      <c r="L56" s="864"/>
      <c r="M56" s="864"/>
      <c r="N56" s="864"/>
      <c r="O56" s="865"/>
      <c r="P56" s="41"/>
    </row>
    <row r="57" spans="1:16" x14ac:dyDescent="0.25">
      <c r="A57" s="859"/>
      <c r="B57" s="863"/>
      <c r="C57" s="864"/>
      <c r="D57" s="864"/>
      <c r="E57" s="864"/>
      <c r="F57" s="864"/>
      <c r="G57" s="864"/>
      <c r="H57" s="864"/>
      <c r="I57" s="864"/>
      <c r="J57" s="864"/>
      <c r="K57" s="864"/>
      <c r="L57" s="864"/>
      <c r="M57" s="864"/>
      <c r="N57" s="864"/>
      <c r="O57" s="865"/>
      <c r="P57" s="41"/>
    </row>
    <row r="58" spans="1:16" x14ac:dyDescent="0.25">
      <c r="A58" s="859"/>
      <c r="B58" s="863"/>
      <c r="C58" s="864"/>
      <c r="D58" s="864"/>
      <c r="E58" s="864"/>
      <c r="F58" s="864"/>
      <c r="G58" s="864"/>
      <c r="H58" s="864"/>
      <c r="I58" s="864"/>
      <c r="J58" s="864"/>
      <c r="K58" s="864"/>
      <c r="L58" s="864"/>
      <c r="M58" s="864"/>
      <c r="N58" s="864"/>
      <c r="O58" s="865"/>
      <c r="P58" s="41"/>
    </row>
    <row r="59" spans="1:16" x14ac:dyDescent="0.25">
      <c r="A59" s="859"/>
      <c r="B59" s="863"/>
      <c r="C59" s="864"/>
      <c r="D59" s="864"/>
      <c r="E59" s="864"/>
      <c r="F59" s="864"/>
      <c r="G59" s="864"/>
      <c r="H59" s="864"/>
      <c r="I59" s="864"/>
      <c r="J59" s="864"/>
      <c r="K59" s="864"/>
      <c r="L59" s="864"/>
      <c r="M59" s="864"/>
      <c r="N59" s="864"/>
      <c r="O59" s="865"/>
      <c r="P59" s="41"/>
    </row>
    <row r="60" spans="1:16" x14ac:dyDescent="0.25">
      <c r="A60" s="859"/>
      <c r="B60" s="863"/>
      <c r="C60" s="864"/>
      <c r="D60" s="864"/>
      <c r="E60" s="864"/>
      <c r="F60" s="864"/>
      <c r="G60" s="864"/>
      <c r="H60" s="864"/>
      <c r="I60" s="864"/>
      <c r="J60" s="864"/>
      <c r="K60" s="864"/>
      <c r="L60" s="864"/>
      <c r="M60" s="864"/>
      <c r="N60" s="864"/>
      <c r="O60" s="865"/>
      <c r="P60" s="41"/>
    </row>
    <row r="61" spans="1:16" x14ac:dyDescent="0.25">
      <c r="A61" s="859"/>
      <c r="B61" s="863"/>
      <c r="C61" s="864"/>
      <c r="D61" s="864"/>
      <c r="E61" s="864"/>
      <c r="F61" s="864"/>
      <c r="G61" s="864"/>
      <c r="H61" s="864"/>
      <c r="I61" s="864"/>
      <c r="J61" s="864"/>
      <c r="K61" s="864"/>
      <c r="L61" s="864"/>
      <c r="M61" s="864"/>
      <c r="N61" s="864"/>
      <c r="O61" s="865"/>
      <c r="P61" s="41"/>
    </row>
    <row r="62" spans="1:16" x14ac:dyDescent="0.25">
      <c r="A62" s="859"/>
      <c r="B62" s="863"/>
      <c r="C62" s="864"/>
      <c r="D62" s="864"/>
      <c r="E62" s="864"/>
      <c r="F62" s="864"/>
      <c r="G62" s="864"/>
      <c r="H62" s="864"/>
      <c r="I62" s="864"/>
      <c r="J62" s="864"/>
      <c r="K62" s="864"/>
      <c r="L62" s="864"/>
      <c r="M62" s="864"/>
      <c r="N62" s="864"/>
      <c r="O62" s="865"/>
      <c r="P62" s="41"/>
    </row>
    <row r="63" spans="1:16" x14ac:dyDescent="0.25">
      <c r="A63" s="859"/>
      <c r="B63" s="863"/>
      <c r="C63" s="864"/>
      <c r="D63" s="864"/>
      <c r="E63" s="864"/>
      <c r="F63" s="864"/>
      <c r="G63" s="864"/>
      <c r="H63" s="864"/>
      <c r="I63" s="864"/>
      <c r="J63" s="864"/>
      <c r="K63" s="864"/>
      <c r="L63" s="864"/>
      <c r="M63" s="864"/>
      <c r="N63" s="864"/>
      <c r="O63" s="865"/>
      <c r="P63" s="41"/>
    </row>
    <row r="64" spans="1:16" x14ac:dyDescent="0.25">
      <c r="A64" s="859"/>
      <c r="B64" s="863"/>
      <c r="C64" s="864"/>
      <c r="D64" s="864"/>
      <c r="E64" s="864"/>
      <c r="F64" s="864"/>
      <c r="G64" s="864"/>
      <c r="H64" s="864"/>
      <c r="I64" s="864"/>
      <c r="J64" s="864"/>
      <c r="K64" s="864"/>
      <c r="L64" s="864"/>
      <c r="M64" s="864"/>
      <c r="N64" s="864"/>
      <c r="O64" s="865"/>
      <c r="P64" s="41"/>
    </row>
    <row r="65" spans="1:16" x14ac:dyDescent="0.25">
      <c r="A65" s="859"/>
      <c r="B65" s="863"/>
      <c r="C65" s="864"/>
      <c r="D65" s="864"/>
      <c r="E65" s="864"/>
      <c r="F65" s="864"/>
      <c r="G65" s="864"/>
      <c r="H65" s="864"/>
      <c r="I65" s="864"/>
      <c r="J65" s="864"/>
      <c r="K65" s="864"/>
      <c r="L65" s="864"/>
      <c r="M65" s="864"/>
      <c r="N65" s="864"/>
      <c r="O65" s="865"/>
      <c r="P65" s="41"/>
    </row>
    <row r="66" spans="1:16" x14ac:dyDescent="0.25">
      <c r="A66" s="859"/>
      <c r="B66" s="863"/>
      <c r="C66" s="864"/>
      <c r="D66" s="864"/>
      <c r="E66" s="864"/>
      <c r="F66" s="864"/>
      <c r="G66" s="864"/>
      <c r="H66" s="864"/>
      <c r="I66" s="864"/>
      <c r="J66" s="864"/>
      <c r="K66" s="864"/>
      <c r="L66" s="864"/>
      <c r="M66" s="864"/>
      <c r="N66" s="864"/>
      <c r="O66" s="865"/>
      <c r="P66" s="41"/>
    </row>
    <row r="67" spans="1:16" x14ac:dyDescent="0.25">
      <c r="A67" s="859"/>
      <c r="B67" s="863"/>
      <c r="C67" s="864"/>
      <c r="D67" s="864"/>
      <c r="E67" s="864"/>
      <c r="F67" s="864"/>
      <c r="G67" s="864"/>
      <c r="H67" s="864"/>
      <c r="I67" s="864"/>
      <c r="J67" s="864"/>
      <c r="K67" s="864"/>
      <c r="L67" s="864"/>
      <c r="M67" s="864"/>
      <c r="N67" s="864"/>
      <c r="O67" s="865"/>
      <c r="P67" s="41"/>
    </row>
    <row r="68" spans="1:16" x14ac:dyDescent="0.25">
      <c r="A68" s="859"/>
      <c r="B68" s="863"/>
      <c r="C68" s="864"/>
      <c r="D68" s="864"/>
      <c r="E68" s="864"/>
      <c r="F68" s="864"/>
      <c r="G68" s="864"/>
      <c r="H68" s="864"/>
      <c r="I68" s="864"/>
      <c r="J68" s="864"/>
      <c r="K68" s="864"/>
      <c r="L68" s="864"/>
      <c r="M68" s="864"/>
      <c r="N68" s="864"/>
      <c r="O68" s="865"/>
      <c r="P68" s="41"/>
    </row>
    <row r="69" spans="1:16" x14ac:dyDescent="0.25">
      <c r="A69" s="859"/>
      <c r="B69" s="863"/>
      <c r="C69" s="864"/>
      <c r="D69" s="864"/>
      <c r="E69" s="864"/>
      <c r="F69" s="864"/>
      <c r="G69" s="864"/>
      <c r="H69" s="864"/>
      <c r="I69" s="864"/>
      <c r="J69" s="864"/>
      <c r="K69" s="864"/>
      <c r="L69" s="864"/>
      <c r="M69" s="864"/>
      <c r="N69" s="864"/>
      <c r="O69" s="865"/>
      <c r="P69" s="41"/>
    </row>
    <row r="70" spans="1:16" x14ac:dyDescent="0.25">
      <c r="A70" s="859"/>
      <c r="B70" s="863"/>
      <c r="C70" s="864"/>
      <c r="D70" s="864"/>
      <c r="E70" s="864"/>
      <c r="F70" s="864"/>
      <c r="G70" s="864"/>
      <c r="H70" s="864"/>
      <c r="I70" s="864"/>
      <c r="J70" s="864"/>
      <c r="K70" s="864"/>
      <c r="L70" s="864"/>
      <c r="M70" s="864"/>
      <c r="N70" s="864"/>
      <c r="O70" s="865"/>
      <c r="P70" s="41"/>
    </row>
    <row r="71" spans="1:16" x14ac:dyDescent="0.25">
      <c r="A71" s="859"/>
      <c r="B71" s="863"/>
      <c r="C71" s="864"/>
      <c r="D71" s="864"/>
      <c r="E71" s="864"/>
      <c r="F71" s="864"/>
      <c r="G71" s="864"/>
      <c r="H71" s="864"/>
      <c r="I71" s="864"/>
      <c r="J71" s="864"/>
      <c r="K71" s="864"/>
      <c r="L71" s="864"/>
      <c r="M71" s="864"/>
      <c r="N71" s="864"/>
      <c r="O71" s="865"/>
      <c r="P71" s="41"/>
    </row>
    <row r="72" spans="1:16" x14ac:dyDescent="0.25">
      <c r="A72" s="859"/>
      <c r="B72" s="863"/>
      <c r="C72" s="864"/>
      <c r="D72" s="864"/>
      <c r="E72" s="864"/>
      <c r="F72" s="864"/>
      <c r="G72" s="864"/>
      <c r="H72" s="864"/>
      <c r="I72" s="864"/>
      <c r="J72" s="864"/>
      <c r="K72" s="864"/>
      <c r="L72" s="864"/>
      <c r="M72" s="864"/>
      <c r="N72" s="864"/>
      <c r="O72" s="865"/>
      <c r="P72" s="41"/>
    </row>
    <row r="73" spans="1:16" x14ac:dyDescent="0.25">
      <c r="A73" s="859"/>
      <c r="B73" s="863"/>
      <c r="C73" s="864"/>
      <c r="D73" s="864"/>
      <c r="E73" s="864"/>
      <c r="F73" s="864"/>
      <c r="G73" s="864"/>
      <c r="H73" s="864"/>
      <c r="I73" s="864"/>
      <c r="J73" s="864"/>
      <c r="K73" s="864"/>
      <c r="L73" s="864"/>
      <c r="M73" s="864"/>
      <c r="N73" s="864"/>
      <c r="O73" s="865"/>
      <c r="P73" s="41"/>
    </row>
    <row r="74" spans="1:16" x14ac:dyDescent="0.25">
      <c r="A74" s="859"/>
      <c r="B74" s="863"/>
      <c r="C74" s="864"/>
      <c r="D74" s="864"/>
      <c r="E74" s="864"/>
      <c r="F74" s="864"/>
      <c r="G74" s="864"/>
      <c r="H74" s="864"/>
      <c r="I74" s="864"/>
      <c r="J74" s="864"/>
      <c r="K74" s="864"/>
      <c r="L74" s="864"/>
      <c r="M74" s="864"/>
      <c r="N74" s="864"/>
      <c r="O74" s="865"/>
      <c r="P74" s="41"/>
    </row>
    <row r="75" spans="1:16" x14ac:dyDescent="0.25">
      <c r="A75" s="859"/>
      <c r="B75" s="863"/>
      <c r="C75" s="864"/>
      <c r="D75" s="864"/>
      <c r="E75" s="864"/>
      <c r="F75" s="864"/>
      <c r="G75" s="864"/>
      <c r="H75" s="864"/>
      <c r="I75" s="864"/>
      <c r="J75" s="864"/>
      <c r="K75" s="864"/>
      <c r="L75" s="864"/>
      <c r="M75" s="864"/>
      <c r="N75" s="864"/>
      <c r="O75" s="865"/>
      <c r="P75" s="41"/>
    </row>
    <row r="76" spans="1:16" x14ac:dyDescent="0.25">
      <c r="A76" s="859"/>
      <c r="B76" s="863"/>
      <c r="C76" s="864"/>
      <c r="D76" s="864"/>
      <c r="E76" s="864"/>
      <c r="F76" s="864"/>
      <c r="G76" s="864"/>
      <c r="H76" s="864"/>
      <c r="I76" s="864"/>
      <c r="J76" s="864"/>
      <c r="K76" s="864"/>
      <c r="L76" s="864"/>
      <c r="M76" s="864"/>
      <c r="N76" s="864"/>
      <c r="O76" s="865"/>
      <c r="P76" s="41"/>
    </row>
    <row r="77" spans="1:16" x14ac:dyDescent="0.25">
      <c r="A77" s="859"/>
      <c r="B77" s="863"/>
      <c r="C77" s="864"/>
      <c r="D77" s="864"/>
      <c r="E77" s="864"/>
      <c r="F77" s="864"/>
      <c r="G77" s="864"/>
      <c r="H77" s="864"/>
      <c r="I77" s="864"/>
      <c r="J77" s="864"/>
      <c r="K77" s="864"/>
      <c r="L77" s="864"/>
      <c r="M77" s="864"/>
      <c r="N77" s="864"/>
      <c r="O77" s="865"/>
      <c r="P77" s="41"/>
    </row>
    <row r="78" spans="1:16" x14ac:dyDescent="0.25">
      <c r="A78" s="859"/>
      <c r="B78" s="863"/>
      <c r="C78" s="864"/>
      <c r="D78" s="864"/>
      <c r="E78" s="864"/>
      <c r="F78" s="864"/>
      <c r="G78" s="864"/>
      <c r="H78" s="864"/>
      <c r="I78" s="864"/>
      <c r="J78" s="864"/>
      <c r="K78" s="864"/>
      <c r="L78" s="864"/>
      <c r="M78" s="864"/>
      <c r="N78" s="864"/>
      <c r="O78" s="865"/>
      <c r="P78" s="41"/>
    </row>
    <row r="79" spans="1:16" x14ac:dyDescent="0.25">
      <c r="A79" s="859"/>
      <c r="B79" s="863"/>
      <c r="C79" s="864"/>
      <c r="D79" s="864"/>
      <c r="E79" s="864"/>
      <c r="F79" s="864"/>
      <c r="G79" s="864"/>
      <c r="H79" s="864"/>
      <c r="I79" s="864"/>
      <c r="J79" s="864"/>
      <c r="K79" s="864"/>
      <c r="L79" s="864"/>
      <c r="M79" s="864"/>
      <c r="N79" s="864"/>
      <c r="O79" s="865"/>
      <c r="P79" s="41"/>
    </row>
    <row r="80" spans="1:16" x14ac:dyDescent="0.25">
      <c r="A80" s="859"/>
      <c r="B80" s="863"/>
      <c r="C80" s="864"/>
      <c r="D80" s="864"/>
      <c r="E80" s="864"/>
      <c r="F80" s="864"/>
      <c r="G80" s="864"/>
      <c r="H80" s="864"/>
      <c r="I80" s="864"/>
      <c r="J80" s="864"/>
      <c r="K80" s="864"/>
      <c r="L80" s="864"/>
      <c r="M80" s="864"/>
      <c r="N80" s="864"/>
      <c r="O80" s="865"/>
      <c r="P80" s="41"/>
    </row>
    <row r="81" spans="1:16" x14ac:dyDescent="0.25">
      <c r="A81" s="859"/>
      <c r="B81" s="863"/>
      <c r="C81" s="864"/>
      <c r="D81" s="864"/>
      <c r="E81" s="864"/>
      <c r="F81" s="864"/>
      <c r="G81" s="864"/>
      <c r="H81" s="864"/>
      <c r="I81" s="864"/>
      <c r="J81" s="864"/>
      <c r="K81" s="864"/>
      <c r="L81" s="864"/>
      <c r="M81" s="864"/>
      <c r="N81" s="864"/>
      <c r="O81" s="865"/>
      <c r="P81" s="41"/>
    </row>
    <row r="82" spans="1:16" x14ac:dyDescent="0.25">
      <c r="A82" s="859"/>
      <c r="B82" s="863"/>
      <c r="C82" s="864"/>
      <c r="D82" s="864"/>
      <c r="E82" s="864"/>
      <c r="F82" s="864"/>
      <c r="G82" s="864"/>
      <c r="H82" s="864"/>
      <c r="I82" s="864"/>
      <c r="J82" s="864"/>
      <c r="K82" s="864"/>
      <c r="L82" s="864"/>
      <c r="M82" s="864"/>
      <c r="N82" s="864"/>
      <c r="O82" s="865"/>
      <c r="P82" s="41"/>
    </row>
    <row r="83" spans="1:16" x14ac:dyDescent="0.25">
      <c r="A83" s="859"/>
      <c r="B83" s="863"/>
      <c r="C83" s="864"/>
      <c r="D83" s="864"/>
      <c r="E83" s="864"/>
      <c r="F83" s="864"/>
      <c r="G83" s="864"/>
      <c r="H83" s="864"/>
      <c r="I83" s="864"/>
      <c r="J83" s="864"/>
      <c r="K83" s="864"/>
      <c r="L83" s="864"/>
      <c r="M83" s="864"/>
      <c r="N83" s="864"/>
      <c r="O83" s="865"/>
      <c r="P83" s="41"/>
    </row>
    <row r="84" spans="1:16" x14ac:dyDescent="0.25">
      <c r="A84" s="859"/>
      <c r="B84" s="863"/>
      <c r="C84" s="864"/>
      <c r="D84" s="864"/>
      <c r="E84" s="864"/>
      <c r="F84" s="864"/>
      <c r="G84" s="864"/>
      <c r="H84" s="864"/>
      <c r="I84" s="864"/>
      <c r="J84" s="864"/>
      <c r="K84" s="864"/>
      <c r="L84" s="864"/>
      <c r="M84" s="864"/>
      <c r="N84" s="864"/>
      <c r="O84" s="865"/>
      <c r="P84" s="41"/>
    </row>
    <row r="85" spans="1:16" x14ac:dyDescent="0.25">
      <c r="A85" s="859"/>
      <c r="B85" s="863"/>
      <c r="C85" s="864"/>
      <c r="D85" s="864"/>
      <c r="E85" s="864"/>
      <c r="F85" s="864"/>
      <c r="G85" s="864"/>
      <c r="H85" s="864"/>
      <c r="I85" s="864"/>
      <c r="J85" s="864"/>
      <c r="K85" s="864"/>
      <c r="L85" s="864"/>
      <c r="M85" s="864"/>
      <c r="N85" s="864"/>
      <c r="O85" s="865"/>
      <c r="P85" s="41"/>
    </row>
    <row r="86" spans="1:16" x14ac:dyDescent="0.25">
      <c r="A86" s="859"/>
      <c r="B86" s="863"/>
      <c r="C86" s="864"/>
      <c r="D86" s="864"/>
      <c r="E86" s="864"/>
      <c r="F86" s="864"/>
      <c r="G86" s="864"/>
      <c r="H86" s="864"/>
      <c r="I86" s="864"/>
      <c r="J86" s="864"/>
      <c r="K86" s="864"/>
      <c r="L86" s="864"/>
      <c r="M86" s="864"/>
      <c r="N86" s="864"/>
      <c r="O86" s="865"/>
      <c r="P86" s="41"/>
    </row>
    <row r="87" spans="1:16" x14ac:dyDescent="0.25">
      <c r="A87" s="859"/>
      <c r="B87" s="863"/>
      <c r="C87" s="864"/>
      <c r="D87" s="864"/>
      <c r="E87" s="864"/>
      <c r="F87" s="864"/>
      <c r="G87" s="864"/>
      <c r="H87" s="864"/>
      <c r="I87" s="864"/>
      <c r="J87" s="864"/>
      <c r="K87" s="864"/>
      <c r="L87" s="864"/>
      <c r="M87" s="864"/>
      <c r="N87" s="864"/>
      <c r="O87" s="865"/>
      <c r="P87" s="41"/>
    </row>
    <row r="88" spans="1:16" x14ac:dyDescent="0.25">
      <c r="A88" s="859"/>
      <c r="B88" s="863"/>
      <c r="C88" s="864"/>
      <c r="D88" s="864"/>
      <c r="E88" s="864"/>
      <c r="F88" s="864"/>
      <c r="G88" s="864"/>
      <c r="H88" s="864"/>
      <c r="I88" s="864"/>
      <c r="J88" s="864"/>
      <c r="K88" s="864"/>
      <c r="L88" s="864"/>
      <c r="M88" s="864"/>
      <c r="N88" s="864"/>
      <c r="O88" s="865"/>
      <c r="P88" s="41"/>
    </row>
    <row r="89" spans="1:16" x14ac:dyDescent="0.25">
      <c r="A89" s="859"/>
      <c r="B89" s="863"/>
      <c r="C89" s="864"/>
      <c r="D89" s="864"/>
      <c r="E89" s="864"/>
      <c r="F89" s="864"/>
      <c r="G89" s="864"/>
      <c r="H89" s="864"/>
      <c r="I89" s="864"/>
      <c r="J89" s="864"/>
      <c r="K89" s="864"/>
      <c r="L89" s="864"/>
      <c r="M89" s="864"/>
      <c r="N89" s="864"/>
      <c r="O89" s="865"/>
      <c r="P89" s="41"/>
    </row>
    <row r="90" spans="1:16" x14ac:dyDescent="0.25">
      <c r="A90" s="859"/>
      <c r="B90" s="863"/>
      <c r="C90" s="864"/>
      <c r="D90" s="864"/>
      <c r="E90" s="864"/>
      <c r="F90" s="864"/>
      <c r="G90" s="864"/>
      <c r="H90" s="864"/>
      <c r="I90" s="864"/>
      <c r="J90" s="864"/>
      <c r="K90" s="864"/>
      <c r="L90" s="864"/>
      <c r="M90" s="864"/>
      <c r="N90" s="864"/>
      <c r="O90" s="865"/>
      <c r="P90" s="41"/>
    </row>
    <row r="91" spans="1:16" x14ac:dyDescent="0.25">
      <c r="A91" s="859"/>
      <c r="B91" s="863"/>
      <c r="C91" s="864"/>
      <c r="D91" s="864"/>
      <c r="E91" s="864"/>
      <c r="F91" s="864"/>
      <c r="G91" s="864"/>
      <c r="H91" s="864"/>
      <c r="I91" s="864"/>
      <c r="J91" s="864"/>
      <c r="K91" s="864"/>
      <c r="L91" s="864"/>
      <c r="M91" s="864"/>
      <c r="N91" s="864"/>
      <c r="O91" s="865"/>
      <c r="P91" s="41"/>
    </row>
    <row r="92" spans="1:16" x14ac:dyDescent="0.25">
      <c r="B92" s="863"/>
      <c r="C92" s="864"/>
      <c r="D92" s="864"/>
      <c r="E92" s="864"/>
      <c r="F92" s="864"/>
      <c r="G92" s="864"/>
      <c r="H92" s="864"/>
      <c r="I92" s="864"/>
      <c r="J92" s="864"/>
      <c r="K92" s="864"/>
      <c r="L92" s="864"/>
      <c r="M92" s="864"/>
      <c r="N92" s="864"/>
      <c r="O92" s="865"/>
      <c r="P92" s="41"/>
    </row>
    <row r="93" spans="1:16" x14ac:dyDescent="0.25">
      <c r="B93" s="863"/>
      <c r="C93" s="864"/>
      <c r="D93" s="864"/>
      <c r="E93" s="864"/>
      <c r="F93" s="864"/>
      <c r="G93" s="864"/>
      <c r="H93" s="864"/>
      <c r="I93" s="864"/>
      <c r="J93" s="864"/>
      <c r="K93" s="864"/>
      <c r="L93" s="864"/>
      <c r="M93" s="864"/>
      <c r="N93" s="864"/>
      <c r="O93" s="865"/>
      <c r="P93" s="41"/>
    </row>
    <row r="94" spans="1:16" x14ac:dyDescent="0.25">
      <c r="B94" s="863"/>
      <c r="C94" s="864"/>
      <c r="D94" s="864"/>
      <c r="E94" s="864"/>
      <c r="F94" s="864"/>
      <c r="G94" s="864"/>
      <c r="H94" s="864"/>
      <c r="I94" s="864"/>
      <c r="J94" s="864"/>
      <c r="K94" s="864"/>
      <c r="L94" s="864"/>
      <c r="M94" s="864"/>
      <c r="N94" s="864"/>
      <c r="O94" s="865"/>
      <c r="P94" s="41"/>
    </row>
    <row r="95" spans="1:16" x14ac:dyDescent="0.25">
      <c r="B95" s="863"/>
      <c r="C95" s="864"/>
      <c r="D95" s="864"/>
      <c r="E95" s="864"/>
      <c r="F95" s="864"/>
      <c r="G95" s="864"/>
      <c r="H95" s="864"/>
      <c r="I95" s="864"/>
      <c r="J95" s="864"/>
      <c r="K95" s="864"/>
      <c r="L95" s="864"/>
      <c r="M95" s="864"/>
      <c r="N95" s="864"/>
      <c r="O95" s="865"/>
      <c r="P95" s="41"/>
    </row>
    <row r="96" spans="1:16" x14ac:dyDescent="0.25">
      <c r="B96" s="863"/>
      <c r="C96" s="864"/>
      <c r="D96" s="864"/>
      <c r="E96" s="864"/>
      <c r="F96" s="864"/>
      <c r="G96" s="864"/>
      <c r="H96" s="864"/>
      <c r="I96" s="864"/>
      <c r="J96" s="864"/>
      <c r="K96" s="864"/>
      <c r="L96" s="864"/>
      <c r="M96" s="864"/>
      <c r="N96" s="864"/>
      <c r="O96" s="865"/>
      <c r="P96" s="41"/>
    </row>
    <row r="97" spans="2:16" x14ac:dyDescent="0.25">
      <c r="B97" s="866"/>
      <c r="C97" s="867"/>
      <c r="D97" s="867"/>
      <c r="E97" s="867"/>
      <c r="F97" s="867"/>
      <c r="G97" s="867"/>
      <c r="H97" s="867"/>
      <c r="I97" s="867"/>
      <c r="J97" s="867"/>
      <c r="K97" s="867"/>
      <c r="L97" s="867"/>
      <c r="M97" s="867"/>
      <c r="N97" s="867"/>
      <c r="O97" s="868"/>
      <c r="P97" s="41"/>
    </row>
    <row r="98" spans="2:16" x14ac:dyDescent="0.25">
      <c r="B98" s="859"/>
      <c r="C98" s="859"/>
      <c r="D98" s="859"/>
      <c r="E98" s="859"/>
      <c r="F98" s="859"/>
      <c r="G98" s="859"/>
      <c r="H98" s="859"/>
      <c r="I98" s="859"/>
      <c r="J98" s="859"/>
      <c r="K98" s="859"/>
      <c r="L98" s="859"/>
      <c r="M98" s="859"/>
      <c r="N98" s="41"/>
      <c r="O98" s="41"/>
    </row>
  </sheetData>
  <sheetProtection sheet="1" objects="1" scenarios="1"/>
  <mergeCells count="7">
    <mergeCell ref="B4:G7"/>
    <mergeCell ref="K24:L24"/>
    <mergeCell ref="K28:L28"/>
    <mergeCell ref="K26:L26"/>
    <mergeCell ref="I24:J25"/>
    <mergeCell ref="I26:J27"/>
    <mergeCell ref="I28:J29"/>
  </mergeCells>
  <conditionalFormatting sqref="C28 E28:F28">
    <cfRule type="expression" dxfId="15" priority="2">
      <formula>iq_primaryProductionIncluded=FALSE</formula>
    </cfRule>
  </conditionalFormatting>
  <conditionalFormatting sqref="E12:E17">
    <cfRule type="expression" dxfId="14" priority="4">
      <formula>iq_primaryProductionIncluded=FALSE</formula>
    </cfRule>
  </conditionalFormatting>
  <conditionalFormatting sqref="E19:F19">
    <cfRule type="expression" dxfId="13" priority="1">
      <formula>iq_primaryProductionIncluded=FALSE</formula>
    </cfRule>
  </conditionalFormatting>
  <conditionalFormatting sqref="F15:F16">
    <cfRule type="expression" dxfId="12" priority="6">
      <formula>iq_downStreamIncluded=FALSE</formula>
    </cfRule>
  </conditionalFormatting>
  <conditionalFormatting sqref="W7:W9">
    <cfRule type="expression" dxfId="11" priority="174">
      <formula>$E47="N/A"</formula>
    </cfRule>
  </conditionalFormatting>
  <conditionalFormatting sqref="W10">
    <cfRule type="expression" dxfId="10" priority="342">
      <formula>$L23="N/A"</formula>
    </cfRule>
  </conditionalFormatting>
  <conditionalFormatting sqref="W11">
    <cfRule type="expression" dxfId="9" priority="168">
      <formula>#REF!="N/A"</formula>
    </cfRule>
  </conditionalFormatting>
  <conditionalFormatting sqref="W12">
    <cfRule type="expression" dxfId="8" priority="343">
      <formula>$L26="N/A"</formula>
    </cfRule>
  </conditionalFormatting>
  <conditionalFormatting sqref="W13:W14">
    <cfRule type="expression" dxfId="7" priority="7">
      <formula>#REF!="N/A"</formula>
    </cfRule>
  </conditionalFormatting>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A8B5-10F0-4E34-8F22-B610EF43C3D2}">
  <sheetPr>
    <tabColor theme="0" tint="-0.249977111117893"/>
  </sheetPr>
  <dimension ref="A1:I165"/>
  <sheetViews>
    <sheetView workbookViewId="0">
      <selection activeCell="C21" sqref="C21"/>
    </sheetView>
  </sheetViews>
  <sheetFormatPr defaultColWidth="0" defaultRowHeight="11.5" zeroHeight="1" x14ac:dyDescent="0.25"/>
  <cols>
    <col min="1" max="1" width="3.453125" style="1523" customWidth="1"/>
    <col min="2" max="2" width="47.453125" style="1523" bestFit="1" customWidth="1"/>
    <col min="3" max="3" width="44" style="1523" bestFit="1" customWidth="1"/>
    <col min="4" max="4" width="61" style="1523" bestFit="1" customWidth="1"/>
    <col min="5" max="5" width="48.453125" style="1523" bestFit="1" customWidth="1"/>
    <col min="6" max="9" width="9.1796875" style="1523" customWidth="1"/>
    <col min="10" max="16384" width="9.1796875" style="1523" hidden="1"/>
  </cols>
  <sheetData>
    <row r="1" spans="2:3" ht="18" customHeight="1" x14ac:dyDescent="0.25"/>
    <row r="2" spans="2:3" ht="102" customHeight="1" x14ac:dyDescent="0.25"/>
    <row r="3" spans="2:3" x14ac:dyDescent="0.25"/>
    <row r="4" spans="2:3" s="1525" customFormat="1" x14ac:dyDescent="0.25">
      <c r="B4" s="1850" t="s">
        <v>1216</v>
      </c>
      <c r="C4" s="1850"/>
    </row>
    <row r="5" spans="2:3" s="1525" customFormat="1" x14ac:dyDescent="0.25">
      <c r="B5" s="1525" t="s">
        <v>209</v>
      </c>
    </row>
    <row r="6" spans="2:3" s="1525" customFormat="1" x14ac:dyDescent="0.25">
      <c r="B6" s="1525" t="s">
        <v>505</v>
      </c>
    </row>
    <row r="7" spans="2:3" s="1525" customFormat="1" x14ac:dyDescent="0.25">
      <c r="B7" s="1525" t="s">
        <v>240</v>
      </c>
    </row>
    <row r="8" spans="2:3" s="1525" customFormat="1" x14ac:dyDescent="0.25">
      <c r="B8" s="1525" t="s">
        <v>248</v>
      </c>
    </row>
    <row r="9" spans="2:3" s="1525" customFormat="1" x14ac:dyDescent="0.25">
      <c r="B9" s="1525" t="s">
        <v>798</v>
      </c>
    </row>
    <row r="10" spans="2:3" s="1525" customFormat="1" x14ac:dyDescent="0.25">
      <c r="B10" s="1525" t="s">
        <v>1217</v>
      </c>
    </row>
    <row r="11" spans="2:3" s="1525" customFormat="1" x14ac:dyDescent="0.25">
      <c r="B11" s="1525" t="s">
        <v>1218</v>
      </c>
    </row>
    <row r="12" spans="2:3" s="1525" customFormat="1" x14ac:dyDescent="0.25"/>
    <row r="13" spans="2:3" s="1525" customFormat="1" x14ac:dyDescent="0.25">
      <c r="B13" s="1850" t="s">
        <v>1219</v>
      </c>
    </row>
    <row r="14" spans="2:3" s="1525" customFormat="1" x14ac:dyDescent="0.25">
      <c r="B14" s="1525" t="s">
        <v>363</v>
      </c>
    </row>
    <row r="15" spans="2:3" s="1525" customFormat="1" x14ac:dyDescent="0.25">
      <c r="B15" s="1525" t="s">
        <v>568</v>
      </c>
    </row>
    <row r="16" spans="2:3" s="1525" customFormat="1" x14ac:dyDescent="0.25">
      <c r="B16" s="1525" t="s">
        <v>55</v>
      </c>
    </row>
    <row r="17" spans="2:2" s="1525" customFormat="1" x14ac:dyDescent="0.25"/>
    <row r="18" spans="2:2" s="1525" customFormat="1" x14ac:dyDescent="0.25">
      <c r="B18" s="1850" t="s">
        <v>1220</v>
      </c>
    </row>
    <row r="19" spans="2:2" s="1525" customFormat="1" x14ac:dyDescent="0.25">
      <c r="B19" s="1525" t="s">
        <v>984</v>
      </c>
    </row>
    <row r="20" spans="2:2" s="1525" customFormat="1" x14ac:dyDescent="0.25">
      <c r="B20" s="1525" t="s">
        <v>985</v>
      </c>
    </row>
    <row r="21" spans="2:2" s="1525" customFormat="1" x14ac:dyDescent="0.25">
      <c r="B21" s="1525" t="s">
        <v>987</v>
      </c>
    </row>
    <row r="22" spans="2:2" s="1525" customFormat="1" x14ac:dyDescent="0.25">
      <c r="B22" s="1525" t="s">
        <v>34</v>
      </c>
    </row>
    <row r="23" spans="2:2" s="1525" customFormat="1" x14ac:dyDescent="0.25">
      <c r="B23" s="1525" t="s">
        <v>986</v>
      </c>
    </row>
    <row r="24" spans="2:2" s="1525" customFormat="1" x14ac:dyDescent="0.25">
      <c r="B24" s="1525" t="s">
        <v>989</v>
      </c>
    </row>
    <row r="25" spans="2:2" s="1525" customFormat="1" x14ac:dyDescent="0.25">
      <c r="B25" s="1525" t="s">
        <v>988</v>
      </c>
    </row>
    <row r="26" spans="2:2" s="1525" customFormat="1" x14ac:dyDescent="0.25">
      <c r="B26" s="1525" t="s">
        <v>981</v>
      </c>
    </row>
    <row r="27" spans="2:2" s="1525" customFormat="1" x14ac:dyDescent="0.25"/>
    <row r="28" spans="2:2" s="1525" customFormat="1" x14ac:dyDescent="0.25">
      <c r="B28" s="1850" t="s">
        <v>1221</v>
      </c>
    </row>
    <row r="29" spans="2:2" s="1525" customFormat="1" x14ac:dyDescent="0.25">
      <c r="B29" s="1525" t="s">
        <v>183</v>
      </c>
    </row>
    <row r="30" spans="2:2" s="1525" customFormat="1" x14ac:dyDescent="0.25">
      <c r="B30" s="1525" t="s">
        <v>90</v>
      </c>
    </row>
    <row r="31" spans="2:2" s="1525" customFormat="1" x14ac:dyDescent="0.25">
      <c r="B31" s="1525" t="s">
        <v>476</v>
      </c>
    </row>
    <row r="32" spans="2:2" s="1525" customFormat="1" x14ac:dyDescent="0.25">
      <c r="B32" s="1525" t="s">
        <v>1192</v>
      </c>
    </row>
    <row r="33" spans="2:4" s="1525" customFormat="1" x14ac:dyDescent="0.25">
      <c r="B33" s="1525" t="s">
        <v>1193</v>
      </c>
    </row>
    <row r="34" spans="2:4" s="1525" customFormat="1" x14ac:dyDescent="0.25">
      <c r="B34" s="1525" t="s">
        <v>1195</v>
      </c>
    </row>
    <row r="35" spans="2:4" s="1525" customFormat="1" x14ac:dyDescent="0.25"/>
    <row r="36" spans="2:4" s="1525" customFormat="1" x14ac:dyDescent="0.25">
      <c r="B36" s="1850" t="s">
        <v>1222</v>
      </c>
      <c r="C36" s="1850" t="s">
        <v>1223</v>
      </c>
    </row>
    <row r="37" spans="2:4" s="1525" customFormat="1" x14ac:dyDescent="0.25">
      <c r="B37" s="1525" t="s">
        <v>50</v>
      </c>
      <c r="C37" s="1525" t="s">
        <v>1224</v>
      </c>
    </row>
    <row r="38" spans="2:4" s="1525" customFormat="1" x14ac:dyDescent="0.25">
      <c r="B38" s="1525" t="s">
        <v>1225</v>
      </c>
      <c r="C38" s="1525" t="s">
        <v>1224</v>
      </c>
    </row>
    <row r="39" spans="2:4" s="1525" customFormat="1" x14ac:dyDescent="0.25">
      <c r="B39" s="1525" t="s">
        <v>1226</v>
      </c>
      <c r="C39" s="1525" t="s">
        <v>1227</v>
      </c>
    </row>
    <row r="40" spans="2:4" s="1525" customFormat="1" x14ac:dyDescent="0.25">
      <c r="B40" s="1525" t="s">
        <v>1228</v>
      </c>
      <c r="C40" s="1525" t="s">
        <v>1229</v>
      </c>
    </row>
    <row r="41" spans="2:4" s="1525" customFormat="1" x14ac:dyDescent="0.25">
      <c r="B41" s="1525" t="s">
        <v>1230</v>
      </c>
      <c r="C41" s="1525" t="s">
        <v>1231</v>
      </c>
    </row>
    <row r="42" spans="2:4" s="1525" customFormat="1" x14ac:dyDescent="0.25"/>
    <row r="43" spans="2:4" s="1525" customFormat="1" x14ac:dyDescent="0.25">
      <c r="B43" s="1850" t="s">
        <v>1232</v>
      </c>
      <c r="C43" s="1850" t="s">
        <v>1233</v>
      </c>
      <c r="D43" s="1850" t="s">
        <v>1234</v>
      </c>
    </row>
    <row r="44" spans="2:4" s="1525" customFormat="1" x14ac:dyDescent="0.25">
      <c r="B44" s="1525" t="s">
        <v>803</v>
      </c>
      <c r="C44" s="1525">
        <f>amm_product_delivered_kg</f>
        <v>0</v>
      </c>
      <c r="D44" s="1525" t="e">
        <f ca="1">amm_overall_net_EI</f>
        <v>#DIV/0!</v>
      </c>
    </row>
    <row r="45" spans="2:4" s="1525" customFormat="1" x14ac:dyDescent="0.25">
      <c r="B45" s="1525" t="s">
        <v>848</v>
      </c>
      <c r="C45" s="1525" t="e">
        <f>liqHyd_quantity_delivered_kg</f>
        <v>#N/A</v>
      </c>
      <c r="D45" s="1525" t="e">
        <f ca="1">liqHyd_overall_net_EI</f>
        <v>#N/A</v>
      </c>
    </row>
    <row r="46" spans="2:4" s="1525" customFormat="1" x14ac:dyDescent="0.25">
      <c r="B46" s="1525" t="s">
        <v>867</v>
      </c>
      <c r="C46" s="1525">
        <f>lohcProd_quantity_delivered_kg</f>
        <v>0</v>
      </c>
      <c r="D46" s="1525" t="e">
        <f ca="1">lohcProd_overall_net_EI</f>
        <v>#DIV/0!</v>
      </c>
    </row>
    <row r="47" spans="2:4" s="1525" customFormat="1" x14ac:dyDescent="0.25">
      <c r="B47" s="1525" t="s">
        <v>369</v>
      </c>
      <c r="C47" s="1525">
        <v>0</v>
      </c>
      <c r="D47" s="1525">
        <v>0</v>
      </c>
    </row>
    <row r="48" spans="2:4" s="1525" customFormat="1" x14ac:dyDescent="0.25"/>
    <row r="49" spans="2:6" s="1525" customFormat="1" x14ac:dyDescent="0.25">
      <c r="B49" s="1850" t="s">
        <v>406</v>
      </c>
      <c r="C49" s="1850" t="s">
        <v>1235</v>
      </c>
      <c r="D49" s="1850" t="s">
        <v>1236</v>
      </c>
    </row>
    <row r="50" spans="2:6" s="1525" customFormat="1" x14ac:dyDescent="0.25">
      <c r="B50" s="1525" t="str">
        <f>$B$14</f>
        <v>Electrolysis</v>
      </c>
      <c r="C50" s="1525" t="e">
        <f>electrolysis_quantity_delivered_kg</f>
        <v>#N/A</v>
      </c>
      <c r="D50" s="1525" t="e">
        <f>electrolysis_overall_net_EI</f>
        <v>#N/A</v>
      </c>
    </row>
    <row r="51" spans="2:6" s="1525" customFormat="1" x14ac:dyDescent="0.25">
      <c r="B51" s="1525" t="str">
        <f>$B$15</f>
        <v>Natural Gas Reforming</v>
      </c>
      <c r="C51" s="1525" t="e">
        <f>reforming_quantity_delivered_kg</f>
        <v>#N/A</v>
      </c>
      <c r="D51" s="1525" t="e">
        <f>reforming_overall_net_EI</f>
        <v>#N/A</v>
      </c>
    </row>
    <row r="52" spans="2:6" s="1525" customFormat="1" x14ac:dyDescent="0.25">
      <c r="B52" s="1525" t="str">
        <f>$B$16</f>
        <v>Coal Gasification</v>
      </c>
      <c r="C52" s="1525" t="e">
        <f>gasification_quantity_delivered_kg</f>
        <v>#N/A</v>
      </c>
      <c r="D52" s="1525" t="e">
        <f>gasification_overall_net_EI</f>
        <v>#N/A</v>
      </c>
    </row>
    <row r="53" spans="2:6" s="1525" customFormat="1" x14ac:dyDescent="0.25">
      <c r="B53" s="1525" t="s">
        <v>369</v>
      </c>
      <c r="C53" s="1525">
        <v>0</v>
      </c>
      <c r="D53" s="1525">
        <v>0</v>
      </c>
    </row>
    <row r="54" spans="2:6" s="1525" customFormat="1" x14ac:dyDescent="0.25"/>
    <row r="55" spans="2:6" s="1525" customFormat="1" x14ac:dyDescent="0.25">
      <c r="B55" s="1850" t="s">
        <v>1237</v>
      </c>
    </row>
    <row r="56" spans="2:6" s="1525" customFormat="1" x14ac:dyDescent="0.25">
      <c r="B56" s="1525" t="str">
        <f>B40</f>
        <v>Methylcyclohexane (MCH)</v>
      </c>
    </row>
    <row r="57" spans="2:6" s="1525" customFormat="1" x14ac:dyDescent="0.25">
      <c r="B57" s="1525" t="str">
        <f>B41</f>
        <v>perhydro-DBT (PDBT)</v>
      </c>
    </row>
    <row r="58" spans="2:6" s="1525" customFormat="1" x14ac:dyDescent="0.25"/>
    <row r="59" spans="2:6" s="1525" customFormat="1" x14ac:dyDescent="0.25">
      <c r="B59" s="1850" t="s">
        <v>1238</v>
      </c>
      <c r="C59" s="1850" t="s">
        <v>1235</v>
      </c>
      <c r="D59" s="1850" t="s">
        <v>1236</v>
      </c>
    </row>
    <row r="60" spans="2:6" s="1525" customFormat="1" x14ac:dyDescent="0.25">
      <c r="B60" s="1525" t="s">
        <v>907</v>
      </c>
      <c r="C60" s="1525">
        <f>ammCrack_quantity_delivered_kg</f>
        <v>0</v>
      </c>
      <c r="D60" s="1525" t="e">
        <f ca="1">ammCrack_overall_net_EI</f>
        <v>#DIV/0!</v>
      </c>
    </row>
    <row r="61" spans="2:6" s="1525" customFormat="1" x14ac:dyDescent="0.25">
      <c r="B61" s="1525" t="s">
        <v>937</v>
      </c>
      <c r="C61" s="1525">
        <f>lohcDehyd_quantity_delivered_kg</f>
        <v>0</v>
      </c>
      <c r="D61" s="1525" t="e">
        <f ca="1">lohcDehyd_overall_net_EI</f>
        <v>#DIV/0!</v>
      </c>
    </row>
    <row r="62" spans="2:6" s="1525" customFormat="1" x14ac:dyDescent="0.25">
      <c r="B62" s="1525" t="s">
        <v>369</v>
      </c>
      <c r="C62" s="1525">
        <v>0</v>
      </c>
      <c r="D62" s="1525">
        <v>0</v>
      </c>
    </row>
    <row r="63" spans="2:6" s="1525" customFormat="1" x14ac:dyDescent="0.25"/>
    <row r="64" spans="2:6" s="1525" customFormat="1" x14ac:dyDescent="0.25">
      <c r="B64" s="1850" t="s">
        <v>358</v>
      </c>
      <c r="C64" s="1850" t="s">
        <v>1239</v>
      </c>
      <c r="D64" s="1850" t="s">
        <v>1240</v>
      </c>
      <c r="E64" s="1850" t="s">
        <v>1241</v>
      </c>
      <c r="F64" s="1850" t="s">
        <v>1242</v>
      </c>
    </row>
    <row r="65" spans="2:6" s="1525" customFormat="1" x14ac:dyDescent="0.25">
      <c r="B65" s="1525" t="str">
        <f>$B$14</f>
        <v>Electrolysis</v>
      </c>
      <c r="C65" s="1526">
        <f>Electrolysis!AB52</f>
        <v>0</v>
      </c>
      <c r="D65" s="1526">
        <f>Electrolysis!AB53</f>
        <v>0</v>
      </c>
      <c r="E65" s="1526" t="e">
        <f>Electrolysis!Z60</f>
        <v>#N/A</v>
      </c>
      <c r="F65" s="1526">
        <f>Electrolysis!AB51</f>
        <v>0</v>
      </c>
    </row>
    <row r="66" spans="2:6" s="1525" customFormat="1" x14ac:dyDescent="0.25">
      <c r="B66" s="1525" t="str">
        <f>$B$15</f>
        <v>Natural Gas Reforming</v>
      </c>
      <c r="C66" s="1526">
        <f>'Natural Gas Reforming'!AB54</f>
        <v>0</v>
      </c>
      <c r="D66" s="1526">
        <f>'Natural Gas Reforming'!AB55</f>
        <v>0</v>
      </c>
      <c r="E66" s="1526" t="e">
        <f>'Natural Gas Reforming'!Z62</f>
        <v>#N/A</v>
      </c>
      <c r="F66" s="1526">
        <f>'Natural Gas Reforming'!AB53</f>
        <v>0</v>
      </c>
    </row>
    <row r="67" spans="2:6" s="1525" customFormat="1" x14ac:dyDescent="0.25">
      <c r="B67" s="1525" t="str">
        <f>$B$16</f>
        <v>Coal Gasification</v>
      </c>
      <c r="C67" s="1526">
        <f>'Coal Gasification'!AB53</f>
        <v>0</v>
      </c>
      <c r="D67" s="1526">
        <f>'Coal Gasification'!AB54</f>
        <v>0</v>
      </c>
      <c r="E67" s="1526" t="e">
        <f>'Coal Gasification'!Z61</f>
        <v>#N/A</v>
      </c>
      <c r="F67" s="1526">
        <f>'Coal Gasification'!AB52</f>
        <v>0</v>
      </c>
    </row>
    <row r="68" spans="2:6" s="1525" customFormat="1" x14ac:dyDescent="0.25">
      <c r="B68" s="1525" t="s">
        <v>803</v>
      </c>
      <c r="C68" s="1526">
        <f>'Ammonia Production'!AB52</f>
        <v>0</v>
      </c>
      <c r="D68" s="1526">
        <f>'Ammonia Production'!AB53</f>
        <v>0</v>
      </c>
      <c r="E68" s="1526" t="e">
        <f>'Ammonia Production'!Z60</f>
        <v>#N/A</v>
      </c>
      <c r="F68" s="1526">
        <f>'Ammonia Production'!AB51</f>
        <v>0</v>
      </c>
    </row>
    <row r="69" spans="2:6" s="1525" customFormat="1" x14ac:dyDescent="0.25">
      <c r="B69" s="1525" t="s">
        <v>848</v>
      </c>
      <c r="C69" s="1526">
        <f>'Hydrogen Liquefaction'!AB52</f>
        <v>0</v>
      </c>
      <c r="D69" s="1526">
        <f>'Hydrogen Liquefaction'!AB53</f>
        <v>0</v>
      </c>
      <c r="E69" s="1526" t="e">
        <f>'Hydrogen Liquefaction'!Z60</f>
        <v>#N/A</v>
      </c>
      <c r="F69" s="1526">
        <f>'Hydrogen Liquefaction'!AB51</f>
        <v>0</v>
      </c>
    </row>
    <row r="70" spans="2:6" s="1525" customFormat="1" x14ac:dyDescent="0.25">
      <c r="B70" s="1525" t="s">
        <v>867</v>
      </c>
      <c r="C70" s="1526">
        <f>'LOHC - Hydrogenation'!AB53</f>
        <v>0</v>
      </c>
      <c r="D70" s="1526">
        <f>'LOHC - Hydrogenation'!AB54</f>
        <v>0</v>
      </c>
      <c r="E70" s="1526" t="e">
        <f>'LOHC - Hydrogenation'!Z61</f>
        <v>#N/A</v>
      </c>
      <c r="F70" s="1526">
        <f>'LOHC - Hydrogenation'!AB52</f>
        <v>0</v>
      </c>
    </row>
    <row r="71" spans="2:6" s="1525" customFormat="1" x14ac:dyDescent="0.25">
      <c r="B71" s="1525" t="s">
        <v>907</v>
      </c>
      <c r="C71" s="1526">
        <f>'Ammonia Cracking'!AB51</f>
        <v>0</v>
      </c>
      <c r="D71" s="1526">
        <f>'Ammonia Cracking'!AB52</f>
        <v>0</v>
      </c>
      <c r="E71" s="1526" t="e">
        <f>'Ammonia Cracking'!Z59</f>
        <v>#N/A</v>
      </c>
      <c r="F71" s="1526">
        <f>'Ammonia Cracking'!AB50</f>
        <v>0</v>
      </c>
    </row>
    <row r="72" spans="2:6" s="1525" customFormat="1" x14ac:dyDescent="0.25">
      <c r="B72" s="1525" t="s">
        <v>937</v>
      </c>
      <c r="C72" s="1526">
        <f>'LOHC - Dehydrogenation'!AB52</f>
        <v>0</v>
      </c>
      <c r="D72" s="1526">
        <f>'LOHC - Dehydrogenation'!AB53</f>
        <v>0</v>
      </c>
      <c r="E72" s="1526" t="e">
        <f>'LOHC - Dehydrogenation'!Z60</f>
        <v>#N/A</v>
      </c>
      <c r="F72" s="1526">
        <f>'LOHC - Dehydrogenation'!AB51</f>
        <v>0</v>
      </c>
    </row>
    <row r="73" spans="2:6" s="1525" customFormat="1" x14ac:dyDescent="0.25">
      <c r="B73" s="1525" t="s">
        <v>1243</v>
      </c>
      <c r="C73" s="1526">
        <f>'Transport &amp; Storage - Hydrogen'!W85</f>
        <v>0</v>
      </c>
      <c r="D73" s="1526">
        <f>'Transport &amp; Storage - Hydrogen'!W86</f>
        <v>0</v>
      </c>
      <c r="E73" s="1526">
        <v>0</v>
      </c>
      <c r="F73" s="1526">
        <f>'Transport &amp; Storage - Hydrogen'!W84</f>
        <v>0</v>
      </c>
    </row>
    <row r="74" spans="2:6" s="1525" customFormat="1" x14ac:dyDescent="0.25">
      <c r="B74" s="1525" t="s">
        <v>156</v>
      </c>
      <c r="C74" s="1526">
        <f>'Transport - Conditioning'!W85</f>
        <v>0</v>
      </c>
      <c r="D74" s="1526">
        <f>'Transport - Conditioning'!W86</f>
        <v>0</v>
      </c>
      <c r="E74" s="1526">
        <v>0</v>
      </c>
      <c r="F74" s="1526">
        <f>'Transport - Conditioning'!W84</f>
        <v>0</v>
      </c>
    </row>
    <row r="75" spans="2:6" s="1525" customFormat="1" x14ac:dyDescent="0.25">
      <c r="B75" s="1525" t="s">
        <v>159</v>
      </c>
      <c r="C75" s="1526">
        <f>'Transport - Downstream'!W85</f>
        <v>0</v>
      </c>
      <c r="D75" s="1526">
        <f>'Transport - Downstream'!W86</f>
        <v>0</v>
      </c>
      <c r="E75" s="1526">
        <v>0</v>
      </c>
      <c r="F75" s="1526">
        <f>'Transport - Downstream'!W84</f>
        <v>0</v>
      </c>
    </row>
    <row r="76" spans="2:6" s="1525" customFormat="1" x14ac:dyDescent="0.25"/>
    <row r="77" spans="2:6" s="1525" customFormat="1" x14ac:dyDescent="0.25">
      <c r="B77" s="1850" t="s">
        <v>642</v>
      </c>
    </row>
    <row r="78" spans="2:6" s="1525" customFormat="1" x14ac:dyDescent="0.25">
      <c r="B78" s="1525" t="s">
        <v>654</v>
      </c>
    </row>
    <row r="79" spans="2:6" s="1525" customFormat="1" x14ac:dyDescent="0.25">
      <c r="B79" s="1525" t="s">
        <v>1244</v>
      </c>
    </row>
    <row r="80" spans="2:6" s="1525" customFormat="1" x14ac:dyDescent="0.25"/>
    <row r="81" spans="2:2" s="1525" customFormat="1" x14ac:dyDescent="0.25">
      <c r="B81" s="1850" t="s">
        <v>1245</v>
      </c>
    </row>
    <row r="82" spans="2:2" s="1525" customFormat="1" x14ac:dyDescent="0.25">
      <c r="B82" s="1525" t="s">
        <v>671</v>
      </c>
    </row>
    <row r="83" spans="2:2" s="1525" customFormat="1" x14ac:dyDescent="0.25">
      <c r="B83" s="1525" t="s">
        <v>1246</v>
      </c>
    </row>
    <row r="84" spans="2:2" s="1525" customFormat="1" x14ac:dyDescent="0.25"/>
    <row r="85" spans="2:2" s="1525" customFormat="1" x14ac:dyDescent="0.25">
      <c r="B85" s="1850" t="s">
        <v>1247</v>
      </c>
    </row>
    <row r="86" spans="2:2" s="1525" customFormat="1" x14ac:dyDescent="0.25">
      <c r="B86" s="1525" t="s">
        <v>1248</v>
      </c>
    </row>
    <row r="87" spans="2:2" s="1525" customFormat="1" x14ac:dyDescent="0.25">
      <c r="B87" s="1525" t="s">
        <v>1249</v>
      </c>
    </row>
    <row r="88" spans="2:2" s="1525" customFormat="1" x14ac:dyDescent="0.25"/>
    <row r="89" spans="2:2" s="1525" customFormat="1" x14ac:dyDescent="0.25">
      <c r="B89" s="1850" t="s">
        <v>1250</v>
      </c>
    </row>
    <row r="90" spans="2:2" s="1525" customFormat="1" x14ac:dyDescent="0.25">
      <c r="B90" s="1523" t="s">
        <v>655</v>
      </c>
    </row>
    <row r="91" spans="2:2" s="1525" customFormat="1" x14ac:dyDescent="0.25">
      <c r="B91" s="1523" t="s">
        <v>1251</v>
      </c>
    </row>
    <row r="92" spans="2:2" s="1525" customFormat="1" x14ac:dyDescent="0.25">
      <c r="B92" s="1523" t="s">
        <v>1252</v>
      </c>
    </row>
    <row r="93" spans="2:2" s="1525" customFormat="1" x14ac:dyDescent="0.25">
      <c r="B93" s="1523" t="s">
        <v>1253</v>
      </c>
    </row>
    <row r="94" spans="2:2" s="1525" customFormat="1" x14ac:dyDescent="0.25">
      <c r="B94" s="1523" t="s">
        <v>1254</v>
      </c>
    </row>
    <row r="95" spans="2:2" s="1525" customFormat="1" x14ac:dyDescent="0.25">
      <c r="B95" s="1523" t="s">
        <v>1255</v>
      </c>
    </row>
    <row r="96" spans="2:2" s="1525" customFormat="1" x14ac:dyDescent="0.25">
      <c r="B96" s="1523" t="s">
        <v>1256</v>
      </c>
    </row>
    <row r="97" spans="2:2" s="1525" customFormat="1" x14ac:dyDescent="0.25">
      <c r="B97" s="1523" t="s">
        <v>1257</v>
      </c>
    </row>
    <row r="98" spans="2:2" x14ac:dyDescent="0.25"/>
    <row r="99" spans="2:2" s="1525" customFormat="1" x14ac:dyDescent="0.25">
      <c r="B99" s="1850" t="s">
        <v>1258</v>
      </c>
    </row>
    <row r="100" spans="2:2" s="1525" customFormat="1" x14ac:dyDescent="0.25">
      <c r="B100" s="1523" t="s">
        <v>1259</v>
      </c>
    </row>
    <row r="101" spans="2:2" s="1525" customFormat="1" x14ac:dyDescent="0.25"/>
    <row r="102" spans="2:2" s="1525" customFormat="1" x14ac:dyDescent="0.25">
      <c r="B102" s="1850" t="s">
        <v>1260</v>
      </c>
    </row>
    <row r="103" spans="2:2" s="1525" customFormat="1" x14ac:dyDescent="0.25">
      <c r="B103" s="1525" t="s">
        <v>369</v>
      </c>
    </row>
    <row r="104" spans="2:2" s="1525" customFormat="1" x14ac:dyDescent="0.25">
      <c r="B104" s="1525" t="s">
        <v>1204</v>
      </c>
    </row>
    <row r="105" spans="2:2" s="1525" customFormat="1" x14ac:dyDescent="0.25">
      <c r="B105" s="1525" t="s">
        <v>1205</v>
      </c>
    </row>
    <row r="106" spans="2:2" s="1525" customFormat="1" x14ac:dyDescent="0.25">
      <c r="B106" s="1525" t="s">
        <v>1206</v>
      </c>
    </row>
    <row r="107" spans="2:2" s="1525" customFormat="1" x14ac:dyDescent="0.25"/>
    <row r="108" spans="2:2" s="1525" customFormat="1" x14ac:dyDescent="0.25">
      <c r="B108" s="1850" t="s">
        <v>1261</v>
      </c>
    </row>
    <row r="109" spans="2:2" s="1525" customFormat="1" x14ac:dyDescent="0.25">
      <c r="B109" s="1523" t="s">
        <v>656</v>
      </c>
    </row>
    <row r="110" spans="2:2" s="1525" customFormat="1" x14ac:dyDescent="0.25">
      <c r="B110" s="1523" t="s">
        <v>1207</v>
      </c>
    </row>
    <row r="111" spans="2:2" s="1525" customFormat="1" x14ac:dyDescent="0.25">
      <c r="B111" s="1523" t="s">
        <v>1208</v>
      </c>
    </row>
    <row r="112" spans="2:2" s="1525" customFormat="1" x14ac:dyDescent="0.25">
      <c r="B112" s="1525" t="s">
        <v>486</v>
      </c>
    </row>
    <row r="113" spans="2:2" s="1525" customFormat="1" x14ac:dyDescent="0.25">
      <c r="B113" s="1525" t="s">
        <v>369</v>
      </c>
    </row>
    <row r="114" spans="2:2" s="1525" customFormat="1" x14ac:dyDescent="0.25"/>
    <row r="115" spans="2:2" s="1525" customFormat="1" x14ac:dyDescent="0.25">
      <c r="B115" s="1850" t="s">
        <v>1262</v>
      </c>
    </row>
    <row r="116" spans="2:2" s="1525" customFormat="1" x14ac:dyDescent="0.25">
      <c r="B116" s="1524">
        <v>0</v>
      </c>
    </row>
    <row r="117" spans="2:2" s="1525" customFormat="1" x14ac:dyDescent="0.25">
      <c r="B117" s="1524">
        <v>4.1666666666666664E-2</v>
      </c>
    </row>
    <row r="118" spans="2:2" s="1525" customFormat="1" x14ac:dyDescent="0.25">
      <c r="B118" s="1524">
        <v>8.3333333333333329E-2</v>
      </c>
    </row>
    <row r="119" spans="2:2" s="1525" customFormat="1" x14ac:dyDescent="0.25">
      <c r="B119" s="1524">
        <v>0.125</v>
      </c>
    </row>
    <row r="120" spans="2:2" s="1525" customFormat="1" x14ac:dyDescent="0.25">
      <c r="B120" s="1524">
        <v>0.16666666666666699</v>
      </c>
    </row>
    <row r="121" spans="2:2" s="1525" customFormat="1" x14ac:dyDescent="0.25">
      <c r="B121" s="1524">
        <v>0.20833333333333401</v>
      </c>
    </row>
    <row r="122" spans="2:2" s="1525" customFormat="1" x14ac:dyDescent="0.25">
      <c r="B122" s="1524">
        <v>0.25</v>
      </c>
    </row>
    <row r="123" spans="2:2" s="1525" customFormat="1" x14ac:dyDescent="0.25">
      <c r="B123" s="1524">
        <v>0.29166666666666702</v>
      </c>
    </row>
    <row r="124" spans="2:2" s="1525" customFormat="1" x14ac:dyDescent="0.25">
      <c r="B124" s="1524">
        <v>0.33333333333333398</v>
      </c>
    </row>
    <row r="125" spans="2:2" s="1525" customFormat="1" x14ac:dyDescent="0.25">
      <c r="B125" s="1524">
        <v>0.375</v>
      </c>
    </row>
    <row r="126" spans="2:2" s="1525" customFormat="1" x14ac:dyDescent="0.25">
      <c r="B126" s="1524">
        <v>0.41666666666666702</v>
      </c>
    </row>
    <row r="127" spans="2:2" s="1525" customFormat="1" x14ac:dyDescent="0.25">
      <c r="B127" s="1524">
        <v>0.45833333333333398</v>
      </c>
    </row>
    <row r="128" spans="2:2" s="1525" customFormat="1" x14ac:dyDescent="0.25">
      <c r="B128" s="1524">
        <v>0.5</v>
      </c>
    </row>
    <row r="129" spans="2:2" s="1525" customFormat="1" x14ac:dyDescent="0.25">
      <c r="B129" s="1524">
        <v>0.54166666666666663</v>
      </c>
    </row>
    <row r="130" spans="2:2" s="1525" customFormat="1" x14ac:dyDescent="0.25">
      <c r="B130" s="1524">
        <v>0.58333333333333337</v>
      </c>
    </row>
    <row r="131" spans="2:2" s="1525" customFormat="1" x14ac:dyDescent="0.25">
      <c r="B131" s="1524">
        <v>0.625</v>
      </c>
    </row>
    <row r="132" spans="2:2" s="1525" customFormat="1" x14ac:dyDescent="0.25">
      <c r="B132" s="1524">
        <v>0.66666666666666663</v>
      </c>
    </row>
    <row r="133" spans="2:2" s="1525" customFormat="1" x14ac:dyDescent="0.25">
      <c r="B133" s="1524">
        <v>0.70833333333333337</v>
      </c>
    </row>
    <row r="134" spans="2:2" s="1525" customFormat="1" x14ac:dyDescent="0.25">
      <c r="B134" s="1524">
        <v>0.75</v>
      </c>
    </row>
    <row r="135" spans="2:2" s="1525" customFormat="1" x14ac:dyDescent="0.25">
      <c r="B135" s="1524">
        <v>0.79166666666666663</v>
      </c>
    </row>
    <row r="136" spans="2:2" s="1525" customFormat="1" x14ac:dyDescent="0.25">
      <c r="B136" s="1524">
        <v>0.83333333333333337</v>
      </c>
    </row>
    <row r="137" spans="2:2" s="1525" customFormat="1" x14ac:dyDescent="0.25">
      <c r="B137" s="1524">
        <v>0.875</v>
      </c>
    </row>
    <row r="138" spans="2:2" s="1525" customFormat="1" x14ac:dyDescent="0.25">
      <c r="B138" s="1524">
        <v>0.91666666666666663</v>
      </c>
    </row>
    <row r="139" spans="2:2" s="1525" customFormat="1" x14ac:dyDescent="0.25">
      <c r="B139" s="1524">
        <v>0.95833333333333337</v>
      </c>
    </row>
    <row r="140" spans="2:2" x14ac:dyDescent="0.25"/>
    <row r="141" spans="2:2" s="1525" customFormat="1" x14ac:dyDescent="0.25">
      <c r="B141" s="1850" t="s">
        <v>1263</v>
      </c>
    </row>
    <row r="142" spans="2:2" s="1525" customFormat="1" x14ac:dyDescent="0.25">
      <c r="B142" s="1523" t="s">
        <v>1264</v>
      </c>
    </row>
    <row r="143" spans="2:2" s="1525" customFormat="1" x14ac:dyDescent="0.25">
      <c r="B143" s="1523" t="s">
        <v>694</v>
      </c>
    </row>
    <row r="144" spans="2:2" s="1525" customFormat="1" x14ac:dyDescent="0.25"/>
    <row r="145" spans="2:8" s="1525" customFormat="1" x14ac:dyDescent="0.25">
      <c r="B145" s="1850" t="s">
        <v>1265</v>
      </c>
    </row>
    <row r="146" spans="2:8" s="1525" customFormat="1" x14ac:dyDescent="0.25">
      <c r="B146" s="1523" t="s">
        <v>1266</v>
      </c>
    </row>
    <row r="147" spans="2:8" s="1525" customFormat="1" x14ac:dyDescent="0.25">
      <c r="B147" s="1523" t="s">
        <v>1267</v>
      </c>
    </row>
    <row r="148" spans="2:8" x14ac:dyDescent="0.25"/>
    <row r="149" spans="2:8" s="1525" customFormat="1" x14ac:dyDescent="0.25">
      <c r="B149" s="1850" t="s">
        <v>1268</v>
      </c>
      <c r="C149" s="1850"/>
      <c r="D149" s="1850"/>
      <c r="E149" s="1850"/>
      <c r="F149" s="1850"/>
      <c r="G149" s="1850"/>
      <c r="H149" s="1851"/>
    </row>
    <row r="150" spans="2:8" s="1525" customFormat="1" x14ac:dyDescent="0.25">
      <c r="B150" s="1852" t="s">
        <v>1269</v>
      </c>
      <c r="C150" s="1853"/>
      <c r="D150" s="1854"/>
      <c r="E150" s="1855"/>
      <c r="F150" s="1855"/>
      <c r="G150" s="1856"/>
      <c r="H150" s="1851"/>
    </row>
    <row r="151" spans="2:8" s="1525" customFormat="1" x14ac:dyDescent="0.25">
      <c r="B151" s="1522" t="s">
        <v>62</v>
      </c>
      <c r="C151" s="1520"/>
    </row>
    <row r="152" spans="2:8" s="1525" customFormat="1" x14ac:dyDescent="0.25">
      <c r="B152" s="1522" t="s">
        <v>68</v>
      </c>
    </row>
    <row r="153" spans="2:8" s="1525" customFormat="1" x14ac:dyDescent="0.25"/>
    <row r="154" spans="2:8" s="1525" customFormat="1" x14ac:dyDescent="0.25"/>
    <row r="155" spans="2:8" s="1525" customFormat="1" x14ac:dyDescent="0.25">
      <c r="B155" s="1850" t="s">
        <v>1270</v>
      </c>
      <c r="C155" s="1850"/>
      <c r="D155" s="1850"/>
      <c r="E155" s="1850"/>
      <c r="F155" s="1850"/>
      <c r="G155" s="1850"/>
      <c r="H155" s="1850"/>
    </row>
    <row r="156" spans="2:8" s="1525" customFormat="1" x14ac:dyDescent="0.25">
      <c r="B156" s="1850" t="s">
        <v>1271</v>
      </c>
      <c r="C156" s="1850" t="s">
        <v>1272</v>
      </c>
      <c r="D156" s="1850" t="s">
        <v>1094</v>
      </c>
      <c r="E156" s="1850"/>
      <c r="F156" s="1850"/>
      <c r="G156" s="1850"/>
      <c r="H156" s="1850"/>
    </row>
    <row r="157" spans="2:8" s="1525" customFormat="1" x14ac:dyDescent="0.25">
      <c r="B157" s="1520" t="s">
        <v>1273</v>
      </c>
      <c r="C157" s="1521" t="s">
        <v>1274</v>
      </c>
      <c r="D157" s="1525" t="s">
        <v>1275</v>
      </c>
    </row>
    <row r="158" spans="2:8" s="1525" customFormat="1" ht="23" x14ac:dyDescent="0.25">
      <c r="B158" s="1520" t="s">
        <v>1276</v>
      </c>
      <c r="C158" s="1521" t="s">
        <v>1277</v>
      </c>
      <c r="D158" s="1525" t="s">
        <v>1278</v>
      </c>
    </row>
    <row r="159" spans="2:8" s="1525" customFormat="1" ht="23" x14ac:dyDescent="0.25">
      <c r="B159" s="1520" t="s">
        <v>1279</v>
      </c>
      <c r="C159" s="1521" t="s">
        <v>1280</v>
      </c>
      <c r="D159" s="1525" t="s">
        <v>1281</v>
      </c>
    </row>
    <row r="160" spans="2:8" s="1525" customFormat="1" ht="23" x14ac:dyDescent="0.25">
      <c r="B160" s="1520" t="s">
        <v>1282</v>
      </c>
      <c r="C160" s="1521" t="s">
        <v>1283</v>
      </c>
      <c r="D160" s="1525" t="s">
        <v>1284</v>
      </c>
    </row>
    <row r="161" spans="2:3" s="1525" customFormat="1" ht="23" x14ac:dyDescent="0.25">
      <c r="B161" s="1520" t="s">
        <v>1285</v>
      </c>
      <c r="C161" s="1521" t="s">
        <v>1286</v>
      </c>
    </row>
    <row r="162" spans="2:3" x14ac:dyDescent="0.25"/>
    <row r="163" spans="2:3" x14ac:dyDescent="0.25">
      <c r="B163" s="1850" t="s">
        <v>1287</v>
      </c>
    </row>
    <row r="164" spans="2:3" x14ac:dyDescent="0.25">
      <c r="B164" s="1523">
        <v>365</v>
      </c>
    </row>
    <row r="165" spans="2:3" x14ac:dyDescent="0.25"/>
  </sheetData>
  <pageMargins left="0.7" right="0.7" top="0.75" bottom="0.75" header="0.3" footer="0.3"/>
  <drawing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684C-0041-4ED3-8767-0B630875BFA4}">
  <sheetPr>
    <tabColor theme="0" tint="-0.249977111117893"/>
  </sheetPr>
  <dimension ref="A3:AC77"/>
  <sheetViews>
    <sheetView showGridLines="0" topLeftCell="A3" zoomScaleNormal="100" workbookViewId="0">
      <selection activeCell="H20" sqref="H20"/>
    </sheetView>
  </sheetViews>
  <sheetFormatPr defaultColWidth="0" defaultRowHeight="12.5" zeroHeight="1" x14ac:dyDescent="0.25"/>
  <cols>
    <col min="1" max="1" width="3.453125" customWidth="1"/>
    <col min="2" max="2" width="4.54296875" customWidth="1"/>
    <col min="3" max="3" width="17.54296875" bestFit="1" customWidth="1"/>
    <col min="4" max="4" width="5.54296875" bestFit="1" customWidth="1"/>
    <col min="5" max="5" width="9.1796875" customWidth="1"/>
    <col min="6" max="9" width="18.54296875" customWidth="1"/>
    <col min="10" max="10" width="4" customWidth="1"/>
    <col min="11" max="11" width="3.453125" customWidth="1"/>
    <col min="12" max="19" width="9.1796875" hidden="1" customWidth="1"/>
    <col min="20" max="21" width="39.81640625" hidden="1" customWidth="1"/>
    <col min="22" max="22" width="30.54296875" hidden="1" customWidth="1"/>
    <col min="23" max="25" width="9.1796875" hidden="1" customWidth="1"/>
    <col min="26" max="26" width="56.453125" hidden="1" customWidth="1"/>
    <col min="27" max="27" width="20" hidden="1" customWidth="1"/>
    <col min="28" max="28" width="36.453125" hidden="1" customWidth="1"/>
    <col min="29" max="29" width="37.54296875" hidden="1" customWidth="1"/>
    <col min="30" max="16384" width="9.1796875" hidden="1"/>
  </cols>
  <sheetData>
    <row r="3" spans="2:21" ht="18" customHeight="1" x14ac:dyDescent="0.25"/>
    <row r="4" spans="2:21" x14ac:dyDescent="0.25">
      <c r="B4" s="840"/>
      <c r="C4" s="841"/>
      <c r="D4" s="841"/>
      <c r="E4" s="841"/>
      <c r="F4" s="841"/>
      <c r="G4" s="841"/>
      <c r="H4" s="841"/>
      <c r="I4" s="841"/>
      <c r="J4" s="842"/>
    </row>
    <row r="5" spans="2:21" ht="33.5" x14ac:dyDescent="0.75">
      <c r="B5" s="843"/>
      <c r="C5" s="849" t="s">
        <v>1288</v>
      </c>
      <c r="D5" s="844"/>
      <c r="E5" s="844"/>
      <c r="F5" s="1942" t="e">
        <f ca="1">T24 &amp; "t of " &amp; iq_primaryProduct &amp; " produced by:"</f>
        <v>#N/A</v>
      </c>
      <c r="G5" s="1942"/>
      <c r="H5" s="1942"/>
      <c r="I5" s="1942"/>
      <c r="J5" s="845"/>
      <c r="T5" s="73" t="s">
        <v>1289</v>
      </c>
      <c r="U5" s="73" t="s">
        <v>1290</v>
      </c>
    </row>
    <row r="6" spans="2:21" ht="13" x14ac:dyDescent="0.3">
      <c r="B6" s="843"/>
      <c r="C6" s="1678" t="s">
        <v>1291</v>
      </c>
      <c r="D6" s="842"/>
      <c r="E6" s="844"/>
      <c r="F6" s="1942" t="str">
        <f>U19 &amp; U20 &amp; U21</f>
        <v>Offsite Hydrogen</v>
      </c>
      <c r="G6" s="1942"/>
      <c r="H6" s="1942"/>
      <c r="I6" s="1942"/>
      <c r="J6" s="845"/>
      <c r="T6" s="9" t="s">
        <v>363</v>
      </c>
      <c r="U6" t="s">
        <v>214</v>
      </c>
    </row>
    <row r="7" spans="2:21" x14ac:dyDescent="0.25">
      <c r="B7" s="843"/>
      <c r="C7" s="843" t="str">
        <f>IF(iq_name=0,"",iq_name)</f>
        <v/>
      </c>
      <c r="D7" s="845"/>
      <c r="E7" s="844"/>
      <c r="F7" s="844"/>
      <c r="G7" s="844"/>
      <c r="H7" s="844"/>
      <c r="I7" s="844"/>
      <c r="J7" s="845"/>
      <c r="T7" s="9" t="s">
        <v>568</v>
      </c>
      <c r="U7" t="str">
        <f>'Key Values'!B72</f>
        <v>Natural gas distributed in a pipeline</v>
      </c>
    </row>
    <row r="8" spans="2:21" x14ac:dyDescent="0.25">
      <c r="B8" s="843"/>
      <c r="C8" s="846"/>
      <c r="D8" s="848"/>
      <c r="E8" s="844"/>
      <c r="F8" s="1936" t="str">
        <f>"Emissions intensity (kg CO2-e/ kg " &amp; VLOOKUP(iq_primaryProduct,Primary_Product_Table[],2,FALSE) &amp; ")"</f>
        <v>Emissions intensity (kg CO2-e/ kg H2)</v>
      </c>
      <c r="G8" s="1943"/>
      <c r="H8" s="1943"/>
      <c r="I8" s="1937"/>
      <c r="J8" s="845"/>
      <c r="T8" s="9" t="s">
        <v>55</v>
      </c>
      <c r="U8" s="227">
        <f>'Coal Gasification'!C88</f>
        <v>0</v>
      </c>
    </row>
    <row r="9" spans="2:21" x14ac:dyDescent="0.25">
      <c r="B9" s="843"/>
      <c r="C9" s="844"/>
      <c r="D9" s="844"/>
      <c r="E9" s="844"/>
      <c r="F9" s="1940"/>
      <c r="G9" s="1944"/>
      <c r="H9" s="1944"/>
      <c r="I9" s="1941"/>
      <c r="J9" s="845"/>
      <c r="T9" s="9" t="s">
        <v>803</v>
      </c>
      <c r="U9" t="s">
        <v>50</v>
      </c>
    </row>
    <row r="10" spans="2:21" ht="13" x14ac:dyDescent="0.3">
      <c r="B10" s="843"/>
      <c r="C10" s="1678" t="s">
        <v>1292</v>
      </c>
      <c r="D10" s="842"/>
      <c r="E10" s="844"/>
      <c r="F10" s="1936" t="s">
        <v>1293</v>
      </c>
      <c r="G10" s="1937"/>
      <c r="H10" s="1936" t="s">
        <v>1294</v>
      </c>
      <c r="I10" s="1937"/>
      <c r="J10" s="845"/>
      <c r="T10" s="9" t="s">
        <v>848</v>
      </c>
      <c r="U10" t="s">
        <v>50</v>
      </c>
    </row>
    <row r="11" spans="2:21" x14ac:dyDescent="0.25">
      <c r="B11" s="843"/>
      <c r="C11" s="843" t="s">
        <v>1295</v>
      </c>
      <c r="D11" s="850" t="e">
        <f>overall_onsiteElecGenRenewables/overall_totalElectricity</f>
        <v>#DIV/0!</v>
      </c>
      <c r="E11" s="844"/>
      <c r="F11" s="1938"/>
      <c r="G11" s="1939"/>
      <c r="H11" s="1938"/>
      <c r="I11" s="1939"/>
      <c r="J11" s="845"/>
      <c r="T11" s="9" t="s">
        <v>867</v>
      </c>
      <c r="U11" t="s">
        <v>50</v>
      </c>
    </row>
    <row r="12" spans="2:21" x14ac:dyDescent="0.25">
      <c r="B12" s="843"/>
      <c r="C12" s="843" t="s">
        <v>1296</v>
      </c>
      <c r="D12" s="850" t="e">
        <f>overall_totalOnsiteCombustionElecGen/overall_totalElectricity</f>
        <v>#DIV/0!</v>
      </c>
      <c r="E12" s="844"/>
      <c r="F12" s="1940"/>
      <c r="G12" s="1941"/>
      <c r="H12" s="1940"/>
      <c r="I12" s="1941"/>
      <c r="J12" s="845"/>
      <c r="T12" s="9" t="s">
        <v>907</v>
      </c>
      <c r="U12" t="s">
        <v>1226</v>
      </c>
    </row>
    <row r="13" spans="2:21" x14ac:dyDescent="0.25">
      <c r="B13" s="843"/>
      <c r="C13" s="846" t="s">
        <v>1297</v>
      </c>
      <c r="D13" s="851" t="e">
        <f>overall_totalImportedElectricity/overall_totalElectricity</f>
        <v>#DIV/0!</v>
      </c>
      <c r="E13" s="844"/>
      <c r="F13" s="1930" t="e">
        <f ca="1">VLOOKUP("Net Operating Emissions Intensity",INDIRECT($U$38 &amp; "[[Reporting Item]:[Value3]]"),3,FALSE)</f>
        <v>#N/A</v>
      </c>
      <c r="G13" s="1931"/>
      <c r="H13" s="1930" t="e">
        <f ca="1">VLOOKUP("Net Overall Emissions Intensity",INDIRECT($U$38 &amp; "[[Reporting Item]:[Value3]]"),3,FALSE)</f>
        <v>#N/A</v>
      </c>
      <c r="I13" s="1931"/>
      <c r="J13" s="845"/>
      <c r="T13" s="9" t="s">
        <v>937</v>
      </c>
      <c r="U13">
        <f>lohcDehyd_pathway</f>
        <v>0</v>
      </c>
    </row>
    <row r="14" spans="2:21" x14ac:dyDescent="0.25">
      <c r="B14" s="843"/>
      <c r="C14" s="844"/>
      <c r="D14" s="844"/>
      <c r="E14" s="844"/>
      <c r="F14" s="1932"/>
      <c r="G14" s="1933"/>
      <c r="H14" s="1932"/>
      <c r="I14" s="1933"/>
      <c r="J14" s="845"/>
    </row>
    <row r="15" spans="2:21" ht="15.5" x14ac:dyDescent="0.3">
      <c r="B15" s="843"/>
      <c r="C15" s="1678" t="s">
        <v>1298</v>
      </c>
      <c r="D15" s="842"/>
      <c r="E15" s="844"/>
      <c r="F15" s="1934"/>
      <c r="G15" s="1935"/>
      <c r="H15" s="1934"/>
      <c r="I15" s="1935"/>
      <c r="J15" s="845"/>
      <c r="T15" s="73" t="s">
        <v>1289</v>
      </c>
    </row>
    <row r="16" spans="2:21" x14ac:dyDescent="0.25">
      <c r="B16" s="843"/>
      <c r="C16" s="843" t="e">
        <f>IF(iq_primaryProduct="Hydrogen",VLOOKUP(T16,T6:U13,2,FALSE), VLOOKUP(iq_conditioningProcess,T6:U13,2,FALSE))</f>
        <v>#N/A</v>
      </c>
      <c r="D16" s="845"/>
      <c r="E16" s="844"/>
      <c r="F16" s="844"/>
      <c r="G16" s="844"/>
      <c r="H16" s="844"/>
      <c r="I16" s="844"/>
      <c r="J16" s="845"/>
      <c r="T16" t="e" cm="1">
        <f t="array" ref="T16">_xlfn.IFS(iq_primaryProductionIncluded, iq_selectedPathway, iq_conditioningIncluded, iq_conditioningProcess, iq_downStreamIncluded, iq_downstreamProcess)</f>
        <v>#N/A</v>
      </c>
    </row>
    <row r="17" spans="2:22" x14ac:dyDescent="0.25">
      <c r="B17" s="843"/>
      <c r="C17" s="846"/>
      <c r="D17" s="848"/>
      <c r="E17" s="844"/>
      <c r="F17" s="844"/>
      <c r="G17" s="844"/>
      <c r="H17" s="844"/>
      <c r="I17" s="844"/>
      <c r="J17" s="845"/>
    </row>
    <row r="18" spans="2:22" ht="15.5" x14ac:dyDescent="0.25">
      <c r="B18" s="843"/>
      <c r="C18" s="844"/>
      <c r="D18" s="844"/>
      <c r="E18" s="844"/>
      <c r="F18" s="844"/>
      <c r="G18" s="844"/>
      <c r="H18" s="844"/>
      <c r="I18" s="844"/>
      <c r="J18" s="845"/>
      <c r="T18" s="73" t="s">
        <v>1299</v>
      </c>
    </row>
    <row r="19" spans="2:22" x14ac:dyDescent="0.25">
      <c r="B19" s="846"/>
      <c r="C19" s="847"/>
      <c r="D19" s="847"/>
      <c r="E19" s="847"/>
      <c r="F19" s="847"/>
      <c r="G19" s="847"/>
      <c r="H19" s="847"/>
      <c r="I19" s="847"/>
      <c r="J19" s="848"/>
      <c r="T19" t="s">
        <v>1300</v>
      </c>
      <c r="U19" t="str">
        <f>IF(OR(iq_selectedPathway="",iq_selectedPathway="N/A"),"Offsite Hydrogen", iq_selectedPathway)</f>
        <v>Offsite Hydrogen</v>
      </c>
    </row>
    <row r="20" spans="2:22" ht="18" customHeight="1" x14ac:dyDescent="0.25">
      <c r="J20" s="790"/>
      <c r="T20" t="s">
        <v>1301</v>
      </c>
      <c r="U20" t="str">
        <f>IF(iq_conditioningIncluded," → " &amp; iq_conditioningProcess, "")</f>
        <v/>
      </c>
    </row>
    <row r="21" spans="2:22" hidden="1" x14ac:dyDescent="0.25">
      <c r="T21" t="s">
        <v>1302</v>
      </c>
      <c r="U21" t="str">
        <f>IF(iq_downStreamIncluded," → " &amp; iq_downstreamProcess, "")</f>
        <v/>
      </c>
    </row>
    <row r="23" spans="2:22" ht="15.5" hidden="1" x14ac:dyDescent="0.25">
      <c r="T23" s="73" t="s">
        <v>1303</v>
      </c>
      <c r="U23" s="73" t="s">
        <v>81</v>
      </c>
    </row>
    <row r="24" spans="2:22" hidden="1" x14ac:dyDescent="0.25">
      <c r="T24" t="e">
        <f ca="1">VLOOKUP("Batch Quantity",INDIRECT($U$38 &amp; "[[Reporting Item]:[Value3]]"),3,FALSE)</f>
        <v>#N/A</v>
      </c>
      <c r="U24" t="s">
        <v>183</v>
      </c>
    </row>
    <row r="26" spans="2:22" ht="15.5" hidden="1" x14ac:dyDescent="0.25">
      <c r="T26" s="4" t="s">
        <v>800</v>
      </c>
    </row>
    <row r="27" spans="2:22" ht="15.5" hidden="1" x14ac:dyDescent="0.25">
      <c r="T27" s="4" t="s">
        <v>801</v>
      </c>
      <c r="U27" s="4" t="s">
        <v>802</v>
      </c>
      <c r="V27" s="4" t="s">
        <v>953</v>
      </c>
    </row>
    <row r="28" spans="2:22" hidden="1" x14ac:dyDescent="0.25">
      <c r="T28" s="9" t="str" cm="1">
        <f t="array" ref="T28:T35">'Hidden Lists and Summaries'!$B$65:$B$72</f>
        <v>Electrolysis</v>
      </c>
      <c r="U28" t="s">
        <v>805</v>
      </c>
      <c r="V28" t="s">
        <v>749</v>
      </c>
    </row>
    <row r="29" spans="2:22" hidden="1" x14ac:dyDescent="0.25">
      <c r="T29" s="9" t="str">
        <v>Natural Gas Reforming</v>
      </c>
      <c r="U29" t="s">
        <v>806</v>
      </c>
      <c r="V29" t="s">
        <v>750</v>
      </c>
    </row>
    <row r="30" spans="2:22" hidden="1" x14ac:dyDescent="0.25">
      <c r="T30" s="9" t="str">
        <v>Coal Gasification</v>
      </c>
      <c r="U30" t="s">
        <v>807</v>
      </c>
      <c r="V30" t="s">
        <v>751</v>
      </c>
    </row>
    <row r="31" spans="2:22" hidden="1" x14ac:dyDescent="0.25">
      <c r="T31" s="9" t="str">
        <v>Ammonia Production</v>
      </c>
      <c r="U31" t="s">
        <v>956</v>
      </c>
      <c r="V31" t="s">
        <v>882</v>
      </c>
    </row>
    <row r="32" spans="2:22" hidden="1" x14ac:dyDescent="0.25">
      <c r="T32" s="9" t="str">
        <v>Hydrogen Liquefaction</v>
      </c>
      <c r="U32" t="s">
        <v>957</v>
      </c>
      <c r="V32" t="s">
        <v>883</v>
      </c>
    </row>
    <row r="33" spans="20:22" hidden="1" x14ac:dyDescent="0.25">
      <c r="T33" s="9" t="str">
        <v>LOHC - Hydrogenation</v>
      </c>
      <c r="U33" t="s">
        <v>960</v>
      </c>
      <c r="V33" t="s">
        <v>884</v>
      </c>
    </row>
    <row r="34" spans="20:22" hidden="1" x14ac:dyDescent="0.25">
      <c r="T34" s="9" t="str">
        <v>Ammonia Cracking</v>
      </c>
      <c r="U34" t="s">
        <v>961</v>
      </c>
      <c r="V34" t="s">
        <v>944</v>
      </c>
    </row>
    <row r="35" spans="20:22" hidden="1" x14ac:dyDescent="0.25">
      <c r="T35" s="9" t="str">
        <v>LOHC - Dehydrogenation</v>
      </c>
      <c r="U35" t="s">
        <v>963</v>
      </c>
      <c r="V35" t="s">
        <v>945</v>
      </c>
    </row>
    <row r="37" spans="20:22" ht="15.5" hidden="1" x14ac:dyDescent="0.25">
      <c r="T37" s="4" t="s">
        <v>969</v>
      </c>
      <c r="U37" s="4" t="s">
        <v>970</v>
      </c>
    </row>
    <row r="38" spans="20:22" hidden="1" x14ac:dyDescent="0.25">
      <c r="T38" cm="1">
        <f t="array" ref="T38">_xlfn.IFS(iq_primaryProduct='Hidden Lists and Summaries'!$B$37,IF(iq_downStreamIncluded, iq_downstreamProcess, iq_selectedPathway),iq_primaryProduct='Hidden Lists and Summaries'!$B$38,'Hidden Lists and Summaries'!$B$45,iq_primaryProduct='Hidden Lists and Summaries'!$B$39,'Hidden Lists and Summaries'!$B$44,TRUE,'Hidden Lists and Summaries'!$B$46)</f>
        <v>0</v>
      </c>
      <c r="U38" t="e">
        <f>VLOOKUP(T38,T28:V35,3,FALSE)</f>
        <v>#N/A</v>
      </c>
    </row>
    <row r="77" spans="20:20" hidden="1" x14ac:dyDescent="0.25">
      <c r="T77" t="e">
        <f ca="1">VLOOKUP("Batch Quantity",INDIRECT($U$38 &amp; "[[Reporting Item]:[Value3]]"),3,FALSE)</f>
        <v>#N/A</v>
      </c>
    </row>
  </sheetData>
  <dataConsolidate/>
  <mergeCells count="7">
    <mergeCell ref="H13:I15"/>
    <mergeCell ref="F10:G12"/>
    <mergeCell ref="F5:I5"/>
    <mergeCell ref="F6:I6"/>
    <mergeCell ref="F8:I9"/>
    <mergeCell ref="F13:G15"/>
    <mergeCell ref="H10:I12"/>
  </mergeCells>
  <conditionalFormatting sqref="T18">
    <cfRule type="expression" dxfId="6" priority="133">
      <formula>$E21="N/A"</formula>
    </cfRule>
  </conditionalFormatting>
  <conditionalFormatting sqref="T5:U5 T15">
    <cfRule type="expression" dxfId="5" priority="130">
      <formula>#REF!="N/A"</formula>
    </cfRule>
  </conditionalFormatting>
  <conditionalFormatting sqref="T23:U23">
    <cfRule type="expression" dxfId="4" priority="15">
      <formula>$E48="N/A"</formula>
    </cfRule>
  </conditionalFormatting>
  <conditionalFormatting sqref="V28:V30">
    <cfRule type="expression" dxfId="3" priority="3">
      <formula>$E108="N/A"</formula>
    </cfRule>
  </conditionalFormatting>
  <conditionalFormatting sqref="V31 V33">
    <cfRule type="expression" dxfId="2" priority="4">
      <formula>$L85="N/A"</formula>
    </cfRule>
  </conditionalFormatting>
  <conditionalFormatting sqref="V32">
    <cfRule type="expression" dxfId="1" priority="2">
      <formula>#REF!="N/A"</formula>
    </cfRule>
  </conditionalFormatting>
  <conditionalFormatting sqref="V34:V35">
    <cfRule type="expression" dxfId="0" priority="1">
      <formula>#REF!="N/A"</formula>
    </cfRule>
  </conditionalFormatting>
  <pageMargins left="0.7" right="0.7" top="0.75" bottom="0.75" header="0.3" footer="0.3"/>
  <pageSetup orientation="portrait" horizontalDpi="4294967293"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C8D7-9450-49DB-A4DE-D4E5E6C57D51}">
  <sheetPr codeName="Sheet11">
    <tabColor theme="0" tint="-0.249977111117893"/>
  </sheetPr>
  <dimension ref="A1:Q387"/>
  <sheetViews>
    <sheetView zoomScaleNormal="100" workbookViewId="0">
      <pane xSplit="2" ySplit="3" topLeftCell="C10" activePane="bottomRight" state="frozen"/>
      <selection pane="topRight" activeCell="C1" sqref="C1"/>
      <selection pane="bottomLeft" activeCell="A4" sqref="A4"/>
      <selection pane="bottomRight" activeCell="C8" sqref="C8"/>
    </sheetView>
  </sheetViews>
  <sheetFormatPr defaultColWidth="0" defaultRowHeight="15.5" zeroHeight="1" x14ac:dyDescent="0.25"/>
  <cols>
    <col min="1" max="1" width="3.453125" style="3" customWidth="1"/>
    <col min="2" max="2" width="52.1796875" style="3" customWidth="1"/>
    <col min="3" max="3" width="61.1796875" style="3" customWidth="1"/>
    <col min="4" max="4" width="59" style="3" customWidth="1"/>
    <col min="5" max="5" width="46.54296875" style="3" customWidth="1"/>
    <col min="6" max="6" width="38.1796875" style="3" customWidth="1"/>
    <col min="7" max="8" width="35.81640625" style="3" customWidth="1"/>
    <col min="9" max="9" width="22.54296875" style="3" customWidth="1"/>
    <col min="10" max="10" width="17.1796875" style="3" customWidth="1"/>
    <col min="11" max="11" width="43.453125" style="3" customWidth="1"/>
    <col min="12" max="12" width="8.54296875" style="3" customWidth="1"/>
    <col min="13" max="13" width="11.1796875" style="3" hidden="1" customWidth="1"/>
    <col min="14" max="16" width="8.54296875" style="3" hidden="1" customWidth="1"/>
    <col min="17" max="17" width="9.81640625" style="3" hidden="1" customWidth="1"/>
    <col min="18" max="16384" width="8.54296875" style="3" hidden="1"/>
  </cols>
  <sheetData>
    <row r="1" spans="2:8" ht="18" customHeight="1" x14ac:dyDescent="0.25"/>
    <row r="2" spans="2:8" ht="102" customHeight="1" x14ac:dyDescent="0.25"/>
    <row r="3" spans="2:8" ht="34.5" customHeight="1" x14ac:dyDescent="0.25">
      <c r="B3" s="1947" t="s">
        <v>746</v>
      </c>
      <c r="C3" s="1947"/>
      <c r="D3" s="1947"/>
      <c r="E3" s="1947"/>
      <c r="F3" s="1947"/>
      <c r="G3" s="1947"/>
      <c r="H3" s="1947"/>
    </row>
    <row r="4" spans="2:8" x14ac:dyDescent="0.25">
      <c r="B4" s="1949" t="s">
        <v>976</v>
      </c>
      <c r="C4" s="143"/>
      <c r="D4" s="143"/>
      <c r="E4" s="143"/>
      <c r="F4" s="143"/>
      <c r="G4" s="143"/>
      <c r="H4" s="143"/>
    </row>
    <row r="5" spans="2:8" x14ac:dyDescent="0.25">
      <c r="B5" s="1949"/>
      <c r="C5" s="143"/>
      <c r="D5" s="143"/>
      <c r="E5" s="143"/>
      <c r="F5" s="143"/>
      <c r="G5" s="143"/>
      <c r="H5" s="143"/>
    </row>
    <row r="6" spans="2:8" x14ac:dyDescent="0.25">
      <c r="B6" s="143"/>
      <c r="C6" s="143"/>
      <c r="D6" s="143"/>
      <c r="E6" s="143"/>
      <c r="F6" s="143"/>
      <c r="G6" s="143"/>
      <c r="H6" s="143"/>
    </row>
    <row r="7" spans="2:8" x14ac:dyDescent="0.25">
      <c r="B7" s="4" t="s">
        <v>977</v>
      </c>
      <c r="C7" s="5"/>
      <c r="D7" s="5"/>
      <c r="E7" s="5"/>
      <c r="F7" s="5"/>
      <c r="G7" s="5"/>
      <c r="H7" s="5"/>
    </row>
    <row r="8" spans="2:8" s="9" customFormat="1" ht="14.5" x14ac:dyDescent="0.25">
      <c r="B8" s="6" t="s">
        <v>978</v>
      </c>
      <c r="C8" s="6" t="s">
        <v>979</v>
      </c>
      <c r="D8" s="6" t="s">
        <v>980</v>
      </c>
      <c r="E8" s="7"/>
      <c r="F8" s="7" t="s">
        <v>198</v>
      </c>
      <c r="G8" s="8"/>
      <c r="H8" s="8"/>
    </row>
    <row r="9" spans="2:8" s="9" customFormat="1" ht="12.5" x14ac:dyDescent="0.25">
      <c r="B9" s="9" t="s">
        <v>981</v>
      </c>
      <c r="C9" s="9">
        <v>7.1948716672944903E-4</v>
      </c>
      <c r="D9" s="9" t="s">
        <v>982</v>
      </c>
      <c r="F9" s="1950" t="s">
        <v>1350</v>
      </c>
    </row>
    <row r="10" spans="2:8" s="9" customFormat="1" ht="12.5" x14ac:dyDescent="0.25">
      <c r="B10" s="9" t="s">
        <v>984</v>
      </c>
      <c r="C10" s="9">
        <v>7.1425154503424696E-4</v>
      </c>
      <c r="D10" s="9" t="s">
        <v>982</v>
      </c>
      <c r="F10" s="1950"/>
    </row>
    <row r="11" spans="2:8" s="9" customFormat="1" ht="12.5" x14ac:dyDescent="0.25">
      <c r="B11" s="9" t="s">
        <v>985</v>
      </c>
      <c r="C11" s="9">
        <v>7.1425154503424696E-4</v>
      </c>
      <c r="D11" s="9" t="s">
        <v>982</v>
      </c>
      <c r="F11" s="1950"/>
    </row>
    <row r="12" spans="2:8" s="9" customFormat="1" ht="12.5" x14ac:dyDescent="0.25">
      <c r="B12" s="9" t="s">
        <v>34</v>
      </c>
      <c r="C12" s="9">
        <v>5.1901519076098497E-4</v>
      </c>
      <c r="D12" s="9" t="s">
        <v>982</v>
      </c>
      <c r="F12" s="1950"/>
    </row>
    <row r="13" spans="2:8" s="9" customFormat="1" ht="12.5" x14ac:dyDescent="0.25">
      <c r="B13" s="9" t="s">
        <v>986</v>
      </c>
      <c r="C13" s="9">
        <v>5.9903490315240597E-4</v>
      </c>
      <c r="D13" s="9" t="s">
        <v>982</v>
      </c>
      <c r="F13" s="1950"/>
    </row>
    <row r="14" spans="2:8" s="9" customFormat="1" ht="12.5" x14ac:dyDescent="0.25">
      <c r="B14" s="9" t="s">
        <v>987</v>
      </c>
      <c r="C14" s="9">
        <v>5.5470526374160197E-4</v>
      </c>
      <c r="D14" s="9" t="s">
        <v>982</v>
      </c>
      <c r="F14" s="1950"/>
    </row>
    <row r="15" spans="2:8" s="9" customFormat="1" ht="12.5" x14ac:dyDescent="0.25">
      <c r="B15" s="9" t="s">
        <v>988</v>
      </c>
      <c r="C15" s="9">
        <v>3.5135728536257602E-4</v>
      </c>
      <c r="D15" s="9" t="s">
        <v>982</v>
      </c>
      <c r="F15" s="1950"/>
    </row>
    <row r="16" spans="2:8" s="9" customFormat="1" ht="12.5" x14ac:dyDescent="0.25">
      <c r="B16" s="9" t="s">
        <v>989</v>
      </c>
      <c r="C16" s="10">
        <v>1.6939419075541701E-3</v>
      </c>
      <c r="D16" s="9" t="s">
        <v>982</v>
      </c>
      <c r="E16" s="10"/>
      <c r="F16" s="1950"/>
    </row>
    <row r="17" spans="2:8" s="9" customFormat="1" x14ac:dyDescent="0.25">
      <c r="B17" s="3"/>
      <c r="C17" s="3"/>
      <c r="D17" s="3"/>
      <c r="E17" s="3"/>
      <c r="F17" s="3"/>
      <c r="G17" s="3"/>
    </row>
    <row r="18" spans="2:8" s="9" customFormat="1" x14ac:dyDescent="0.25">
      <c r="B18" s="4" t="s">
        <v>990</v>
      </c>
      <c r="C18" s="5"/>
      <c r="D18" s="5"/>
      <c r="E18" s="5"/>
      <c r="F18" s="5"/>
      <c r="G18" s="5"/>
      <c r="H18" s="11"/>
    </row>
    <row r="19" spans="2:8" s="2" customFormat="1" x14ac:dyDescent="0.25">
      <c r="B19" s="1" t="s">
        <v>991</v>
      </c>
      <c r="C19" s="12" t="s">
        <v>979</v>
      </c>
      <c r="D19" s="1" t="s">
        <v>980</v>
      </c>
      <c r="E19" s="13"/>
      <c r="F19" s="7" t="s">
        <v>198</v>
      </c>
      <c r="G19" s="14"/>
      <c r="H19" s="13"/>
    </row>
    <row r="20" spans="2:8" s="9" customFormat="1" x14ac:dyDescent="0.25">
      <c r="B20" s="9" t="s">
        <v>992</v>
      </c>
      <c r="C20" s="15">
        <v>1.4867663075620501E-3</v>
      </c>
      <c r="D20" s="9" t="s">
        <v>982</v>
      </c>
      <c r="E20" s="3"/>
      <c r="F20" s="1950" t="s">
        <v>1350</v>
      </c>
      <c r="G20" s="3"/>
    </row>
    <row r="21" spans="2:8" s="9" customFormat="1" x14ac:dyDescent="0.25">
      <c r="B21" s="9" t="s">
        <v>993</v>
      </c>
      <c r="C21" s="15">
        <v>2.3039597987483101E-3</v>
      </c>
      <c r="D21" s="9" t="s">
        <v>982</v>
      </c>
      <c r="E21" s="3"/>
      <c r="F21" s="1950"/>
      <c r="G21" s="3"/>
    </row>
    <row r="22" spans="2:8" s="9" customFormat="1" x14ac:dyDescent="0.25">
      <c r="B22" s="9" t="s">
        <v>994</v>
      </c>
      <c r="C22" s="15">
        <v>1.05591818083157E-5</v>
      </c>
      <c r="D22" s="9" t="s">
        <v>982</v>
      </c>
      <c r="E22" s="3"/>
      <c r="F22" s="1950"/>
      <c r="G22" s="3"/>
    </row>
    <row r="23" spans="2:8" s="9" customFormat="1" x14ac:dyDescent="0.25">
      <c r="B23" s="9" t="s">
        <v>995</v>
      </c>
      <c r="C23" s="15">
        <v>3.3565169354822302E-5</v>
      </c>
      <c r="D23" s="9" t="s">
        <v>982</v>
      </c>
      <c r="E23" s="3"/>
      <c r="F23" s="1950"/>
      <c r="G23" s="3"/>
    </row>
    <row r="24" spans="2:8" s="9" customFormat="1" ht="15" customHeight="1" x14ac:dyDescent="0.25">
      <c r="B24" s="9" t="s">
        <v>996</v>
      </c>
      <c r="C24" s="9">
        <v>3.3899999999999998E-3</v>
      </c>
      <c r="D24" s="9" t="s">
        <v>982</v>
      </c>
      <c r="E24" s="3"/>
      <c r="F24" s="1953" t="s">
        <v>997</v>
      </c>
      <c r="G24" s="1953"/>
      <c r="H24" s="1953"/>
    </row>
    <row r="25" spans="2:8" s="9" customFormat="1" x14ac:dyDescent="0.25">
      <c r="B25" s="9" t="s">
        <v>998</v>
      </c>
      <c r="C25" s="226" t="s">
        <v>999</v>
      </c>
      <c r="D25" s="9" t="s">
        <v>982</v>
      </c>
      <c r="E25" s="3"/>
      <c r="F25" s="1953"/>
      <c r="G25" s="1953"/>
      <c r="H25" s="1953"/>
    </row>
    <row r="26" spans="2:8" s="9" customFormat="1" ht="12.5" x14ac:dyDescent="0.25">
      <c r="B26" s="9" t="s">
        <v>1000</v>
      </c>
      <c r="C26" s="15">
        <v>0</v>
      </c>
      <c r="D26" s="9" t="s">
        <v>982</v>
      </c>
      <c r="F26" s="1953"/>
      <c r="G26" s="1953"/>
      <c r="H26" s="1953"/>
    </row>
    <row r="27" spans="2:8" s="9" customFormat="1" ht="12.5" x14ac:dyDescent="0.25">
      <c r="B27" s="9" t="s">
        <v>1001</v>
      </c>
      <c r="C27" s="15">
        <v>0</v>
      </c>
      <c r="D27" s="9" t="s">
        <v>982</v>
      </c>
      <c r="F27" s="1953"/>
      <c r="G27" s="1953"/>
      <c r="H27" s="1953"/>
    </row>
    <row r="28" spans="2:8" s="9" customFormat="1" ht="12.5" x14ac:dyDescent="0.25">
      <c r="F28" s="1953"/>
      <c r="G28" s="1953"/>
      <c r="H28" s="1953"/>
    </row>
    <row r="29" spans="2:8" s="9" customFormat="1" x14ac:dyDescent="0.25">
      <c r="B29" s="4" t="s">
        <v>1002</v>
      </c>
      <c r="C29" s="16"/>
      <c r="D29" s="16"/>
      <c r="E29" s="16"/>
      <c r="F29" s="16"/>
      <c r="G29" s="16"/>
      <c r="H29" s="11"/>
    </row>
    <row r="30" spans="2:8" s="9" customFormat="1" ht="13" x14ac:dyDescent="0.25">
      <c r="B30" s="1" t="s">
        <v>1003</v>
      </c>
      <c r="C30" s="1" t="s">
        <v>1004</v>
      </c>
      <c r="D30" s="1" t="s">
        <v>1005</v>
      </c>
      <c r="E30" s="16"/>
      <c r="F30" s="16"/>
      <c r="G30" s="16"/>
      <c r="H30" s="11"/>
    </row>
    <row r="31" spans="2:8" s="18" customFormat="1" ht="13" x14ac:dyDescent="0.25">
      <c r="B31" s="17" t="s">
        <v>1006</v>
      </c>
      <c r="C31" s="17">
        <v>9.2999999999999999E-2</v>
      </c>
      <c r="D31" s="17">
        <v>3.6700000000000003E-2</v>
      </c>
      <c r="F31" s="517" t="s">
        <v>1007</v>
      </c>
    </row>
    <row r="32" spans="2:8" s="18" customFormat="1" ht="12.5" x14ac:dyDescent="0.25">
      <c r="B32" s="17"/>
      <c r="C32" s="17"/>
      <c r="D32" s="17"/>
    </row>
    <row r="33" spans="2:9" s="9" customFormat="1" x14ac:dyDescent="0.25">
      <c r="B33" s="4" t="s">
        <v>1008</v>
      </c>
      <c r="C33" s="19"/>
      <c r="D33" s="19"/>
      <c r="E33" s="19"/>
      <c r="F33" s="19"/>
      <c r="G33" s="19"/>
      <c r="H33" s="19"/>
    </row>
    <row r="34" spans="2:9" s="9" customFormat="1" ht="13" x14ac:dyDescent="0.25">
      <c r="B34" s="19" t="s">
        <v>1009</v>
      </c>
      <c r="C34" s="19"/>
      <c r="D34" s="19"/>
      <c r="E34" s="19"/>
      <c r="F34" s="19"/>
      <c r="G34" s="19"/>
      <c r="H34" s="19"/>
    </row>
    <row r="35" spans="2:9" s="9" customFormat="1" ht="12.5" x14ac:dyDescent="0.25">
      <c r="B35" s="9" t="s">
        <v>1010</v>
      </c>
    </row>
    <row r="36" spans="2:9" s="9" customFormat="1" ht="12.5" x14ac:dyDescent="0.25">
      <c r="B36" s="9" t="s">
        <v>1011</v>
      </c>
    </row>
    <row r="37" spans="2:9" s="9" customFormat="1" ht="12.5" x14ac:dyDescent="0.25">
      <c r="B37" s="9" t="s">
        <v>1012</v>
      </c>
    </row>
    <row r="38" spans="2:9" s="9" customFormat="1" ht="12.5" x14ac:dyDescent="0.25"/>
    <row r="39" spans="2:9" s="9" customFormat="1" x14ac:dyDescent="0.25">
      <c r="B39" s="4" t="s">
        <v>1013</v>
      </c>
      <c r="C39" s="11"/>
      <c r="D39" s="11"/>
      <c r="E39" s="11"/>
      <c r="F39" s="11"/>
      <c r="G39" s="11"/>
      <c r="H39" s="11"/>
      <c r="I39" s="11"/>
    </row>
    <row r="40" spans="2:9" x14ac:dyDescent="0.25">
      <c r="B40" s="20" t="s">
        <v>1014</v>
      </c>
      <c r="C40" s="20" t="s">
        <v>1015</v>
      </c>
      <c r="D40" s="21" t="s">
        <v>1016</v>
      </c>
      <c r="E40" s="21" t="s">
        <v>1017</v>
      </c>
      <c r="F40" s="21" t="s">
        <v>1018</v>
      </c>
      <c r="G40" s="22" t="s">
        <v>1019</v>
      </c>
      <c r="H40" s="5"/>
      <c r="I40" s="7" t="s">
        <v>198</v>
      </c>
    </row>
    <row r="41" spans="2:9" x14ac:dyDescent="0.25">
      <c r="B41" s="15" t="s">
        <v>1020</v>
      </c>
      <c r="C41" s="9">
        <v>27</v>
      </c>
      <c r="D41" s="9">
        <v>90</v>
      </c>
      <c r="E41" s="9">
        <v>0.04</v>
      </c>
      <c r="F41" s="9">
        <v>0.2</v>
      </c>
      <c r="G41" s="9">
        <f>SUM('Key Values'!$D41:$F41)</f>
        <v>90.240000000000009</v>
      </c>
      <c r="I41" s="1946" t="s">
        <v>1021</v>
      </c>
    </row>
    <row r="42" spans="2:9" x14ac:dyDescent="0.25">
      <c r="B42" s="15" t="s">
        <v>1022</v>
      </c>
      <c r="C42" s="9">
        <v>21</v>
      </c>
      <c r="D42" s="9">
        <v>90</v>
      </c>
      <c r="E42" s="9">
        <v>0.04</v>
      </c>
      <c r="F42" s="9">
        <v>0.2</v>
      </c>
      <c r="G42" s="9">
        <f>SUM('Key Values'!$D42:$F42)</f>
        <v>90.240000000000009</v>
      </c>
      <c r="I42" s="1946"/>
    </row>
    <row r="43" spans="2:9" x14ac:dyDescent="0.25">
      <c r="B43" s="15" t="s">
        <v>1023</v>
      </c>
      <c r="C43" s="9">
        <v>29</v>
      </c>
      <c r="D43" s="9">
        <v>90</v>
      </c>
      <c r="E43" s="9">
        <v>0.04</v>
      </c>
      <c r="F43" s="9">
        <v>0.2</v>
      </c>
      <c r="G43" s="9">
        <f>SUM('Key Values'!$D43:$F43)</f>
        <v>90.240000000000009</v>
      </c>
      <c r="I43" s="1946"/>
    </row>
    <row r="44" spans="2:9" x14ac:dyDescent="0.25">
      <c r="B44" s="15" t="s">
        <v>1024</v>
      </c>
      <c r="C44" s="9">
        <v>10.199999999999999</v>
      </c>
      <c r="D44" s="9">
        <v>93.5</v>
      </c>
      <c r="E44" s="9">
        <v>0.02</v>
      </c>
      <c r="F44" s="9">
        <v>0.3</v>
      </c>
      <c r="G44" s="9">
        <f>SUM('Key Values'!$D44:$F44)</f>
        <v>93.82</v>
      </c>
      <c r="I44" s="1946"/>
    </row>
    <row r="45" spans="2:9" x14ac:dyDescent="0.25">
      <c r="B45" s="15" t="s">
        <v>1025</v>
      </c>
      <c r="C45" s="9">
        <v>30</v>
      </c>
      <c r="D45" s="9">
        <v>91.8</v>
      </c>
      <c r="E45" s="9">
        <v>0.03</v>
      </c>
      <c r="F45" s="9">
        <v>0.2</v>
      </c>
      <c r="G45" s="9">
        <f>SUM('Key Values'!$D45:$F45)</f>
        <v>92.03</v>
      </c>
      <c r="I45" s="1946"/>
    </row>
    <row r="46" spans="2:9" x14ac:dyDescent="0.25">
      <c r="B46" s="15" t="s">
        <v>1026</v>
      </c>
      <c r="C46" s="9">
        <v>22.1</v>
      </c>
      <c r="D46" s="9">
        <v>95</v>
      </c>
      <c r="E46" s="9">
        <v>0.08</v>
      </c>
      <c r="F46" s="9">
        <v>0.2</v>
      </c>
      <c r="G46" s="9">
        <f>SUM('Key Values'!$D46:$F46)</f>
        <v>95.28</v>
      </c>
      <c r="I46" s="1946"/>
    </row>
    <row r="47" spans="2:9" x14ac:dyDescent="0.25">
      <c r="B47" s="15" t="s">
        <v>1027</v>
      </c>
      <c r="C47" s="9">
        <v>27</v>
      </c>
      <c r="D47" s="9">
        <v>107</v>
      </c>
      <c r="E47" s="9">
        <v>0.03</v>
      </c>
      <c r="F47" s="9">
        <v>0.2</v>
      </c>
      <c r="G47" s="9">
        <f>SUM('Key Values'!$D47:$F47)</f>
        <v>107.23</v>
      </c>
      <c r="I47" s="1946"/>
    </row>
    <row r="48" spans="2:9" x14ac:dyDescent="0.25">
      <c r="B48" s="15" t="s">
        <v>1028</v>
      </c>
      <c r="C48" s="9">
        <v>37.5</v>
      </c>
      <c r="D48" s="9">
        <v>81.8</v>
      </c>
      <c r="E48" s="9">
        <v>0.03</v>
      </c>
      <c r="F48" s="9">
        <v>0.2</v>
      </c>
      <c r="G48" s="9">
        <f>SUM('Key Values'!$D48:$F48)</f>
        <v>82.03</v>
      </c>
      <c r="I48" s="1946"/>
    </row>
    <row r="49" spans="2:9" x14ac:dyDescent="0.25">
      <c r="B49" s="15" t="s">
        <v>1029</v>
      </c>
      <c r="C49" s="9">
        <v>22.1</v>
      </c>
      <c r="D49" s="9">
        <v>95</v>
      </c>
      <c r="E49" s="9">
        <v>0.08</v>
      </c>
      <c r="F49" s="9">
        <v>0.2</v>
      </c>
      <c r="G49" s="9">
        <f>SUM('Key Values'!$D49:$F49)</f>
        <v>95.28</v>
      </c>
      <c r="I49" s="1946"/>
    </row>
    <row r="50" spans="2:9" ht="25.5" customHeight="1" x14ac:dyDescent="0.25">
      <c r="B50" s="15" t="s">
        <v>1030</v>
      </c>
      <c r="C50" s="9">
        <v>26.3</v>
      </c>
      <c r="D50" s="9">
        <v>81.599999999999994</v>
      </c>
      <c r="E50" s="9">
        <v>0.03</v>
      </c>
      <c r="F50" s="9">
        <v>0.2</v>
      </c>
      <c r="G50" s="9">
        <f>SUM('Key Values'!$D50:$F50)</f>
        <v>81.83</v>
      </c>
      <c r="I50" s="1946"/>
    </row>
    <row r="51" spans="2:9" ht="25" x14ac:dyDescent="0.25">
      <c r="B51" s="15" t="s">
        <v>1031</v>
      </c>
      <c r="C51" s="9">
        <v>10.5</v>
      </c>
      <c r="D51" s="9">
        <v>87.1</v>
      </c>
      <c r="E51" s="9">
        <v>0.8</v>
      </c>
      <c r="F51" s="9">
        <v>1</v>
      </c>
      <c r="G51" s="9">
        <f>SUM('Key Values'!$D51:$F51)</f>
        <v>88.899999999999991</v>
      </c>
      <c r="I51" s="1946"/>
    </row>
    <row r="52" spans="2:9" x14ac:dyDescent="0.25">
      <c r="B52" s="15" t="s">
        <v>1032</v>
      </c>
      <c r="C52" s="9">
        <v>16.2</v>
      </c>
      <c r="D52" s="9">
        <v>0</v>
      </c>
      <c r="E52" s="9">
        <v>0.1</v>
      </c>
      <c r="F52" s="9">
        <v>1.1000000000000001</v>
      </c>
      <c r="G52" s="9">
        <f>SUM('Key Values'!$D52:$F52)</f>
        <v>1.2000000000000002</v>
      </c>
      <c r="I52" s="1946"/>
    </row>
    <row r="53" spans="2:9" x14ac:dyDescent="0.25">
      <c r="B53" s="15" t="s">
        <v>1033</v>
      </c>
      <c r="C53" s="9">
        <v>10.4</v>
      </c>
      <c r="D53" s="9">
        <v>0</v>
      </c>
      <c r="E53" s="9">
        <v>0.1</v>
      </c>
      <c r="F53" s="9">
        <v>1.1000000000000001</v>
      </c>
      <c r="G53" s="9">
        <f>SUM('Key Values'!$D53:$F53)</f>
        <v>1.2000000000000002</v>
      </c>
      <c r="I53" s="1946"/>
    </row>
    <row r="54" spans="2:9" x14ac:dyDescent="0.25">
      <c r="B54" s="15" t="s">
        <v>1034</v>
      </c>
      <c r="C54" s="9">
        <v>12.4</v>
      </c>
      <c r="D54" s="9">
        <v>0</v>
      </c>
      <c r="E54" s="9">
        <v>0.08</v>
      </c>
      <c r="F54" s="9">
        <v>0.5</v>
      </c>
      <c r="G54" s="9">
        <f>SUM('Key Values'!$D54:$F54)</f>
        <v>0.57999999999999996</v>
      </c>
      <c r="I54" s="1946"/>
    </row>
    <row r="55" spans="2:9" x14ac:dyDescent="0.25">
      <c r="B55" s="15" t="s">
        <v>1035</v>
      </c>
      <c r="C55" s="9">
        <v>9.6</v>
      </c>
      <c r="D55" s="9">
        <v>0</v>
      </c>
      <c r="E55" s="9">
        <v>0.3</v>
      </c>
      <c r="F55" s="9">
        <v>1.1000000000000001</v>
      </c>
      <c r="G55" s="9">
        <f>SUM('Key Values'!$D55:$F55)</f>
        <v>1.4000000000000001</v>
      </c>
      <c r="I55" s="1946"/>
    </row>
    <row r="56" spans="2:9" ht="25" x14ac:dyDescent="0.25">
      <c r="B56" s="15" t="s">
        <v>1036</v>
      </c>
      <c r="C56" s="9">
        <v>12.2</v>
      </c>
      <c r="D56" s="9">
        <v>0</v>
      </c>
      <c r="E56" s="9">
        <v>0.8</v>
      </c>
      <c r="F56" s="9">
        <v>1</v>
      </c>
      <c r="G56" s="9">
        <f>SUM('Key Values'!$D56:$F56)</f>
        <v>1.8</v>
      </c>
      <c r="I56" s="1946"/>
    </row>
    <row r="57" spans="2:9" x14ac:dyDescent="0.25">
      <c r="B57" s="15" t="s">
        <v>1037</v>
      </c>
      <c r="C57" s="9">
        <v>31.1</v>
      </c>
      <c r="D57" s="9">
        <v>0</v>
      </c>
      <c r="E57" s="9">
        <v>5.3</v>
      </c>
      <c r="F57" s="9">
        <v>1</v>
      </c>
      <c r="G57" s="9">
        <f>SUM('Key Values'!$D57:$F57)</f>
        <v>6.3</v>
      </c>
      <c r="I57" s="1946"/>
    </row>
    <row r="58" spans="2:9" x14ac:dyDescent="0.25">
      <c r="B58" s="15" t="s">
        <v>1038</v>
      </c>
      <c r="C58" s="9">
        <v>12.2</v>
      </c>
      <c r="D58" s="9">
        <v>0</v>
      </c>
      <c r="E58" s="9">
        <v>0.8</v>
      </c>
      <c r="F58" s="9">
        <v>1</v>
      </c>
      <c r="G58" s="9">
        <f>SUM('Key Values'!$D58:$F58)</f>
        <v>1.8</v>
      </c>
      <c r="I58" s="1946"/>
    </row>
    <row r="59" spans="2:9" x14ac:dyDescent="0.25">
      <c r="C59" s="23"/>
    </row>
    <row r="60" spans="2:9" x14ac:dyDescent="0.25">
      <c r="B60" s="4" t="s">
        <v>1039</v>
      </c>
      <c r="C60" s="24"/>
      <c r="D60" s="5"/>
      <c r="E60" s="5"/>
      <c r="F60" s="5"/>
      <c r="G60" s="5"/>
      <c r="H60" s="5"/>
    </row>
    <row r="61" spans="2:9" x14ac:dyDescent="0.25">
      <c r="B61" s="25" t="s">
        <v>1014</v>
      </c>
      <c r="C61" s="19" t="s">
        <v>1040</v>
      </c>
      <c r="D61" s="5"/>
      <c r="E61" s="7" t="s">
        <v>198</v>
      </c>
      <c r="F61" s="5"/>
      <c r="G61" s="5"/>
      <c r="H61" s="5"/>
    </row>
    <row r="62" spans="2:9" x14ac:dyDescent="0.25">
      <c r="B62" s="15" t="s">
        <v>1020</v>
      </c>
      <c r="C62" s="9">
        <v>3</v>
      </c>
      <c r="E62" s="1946" t="s">
        <v>1041</v>
      </c>
    </row>
    <row r="63" spans="2:9" x14ac:dyDescent="0.25">
      <c r="B63" s="15" t="s">
        <v>1022</v>
      </c>
      <c r="C63" s="9">
        <v>2.5</v>
      </c>
      <c r="E63" s="1946"/>
    </row>
    <row r="64" spans="2:9" x14ac:dyDescent="0.25">
      <c r="B64" s="15" t="s">
        <v>1024</v>
      </c>
      <c r="C64" s="9">
        <v>0.4</v>
      </c>
      <c r="E64" s="1946"/>
    </row>
    <row r="65" spans="2:13" x14ac:dyDescent="0.25">
      <c r="B65" s="15" t="s">
        <v>1025</v>
      </c>
      <c r="C65" s="9">
        <v>6.4</v>
      </c>
      <c r="E65" s="1946"/>
    </row>
    <row r="66" spans="2:13" x14ac:dyDescent="0.25">
      <c r="B66" s="15" t="s">
        <v>1026</v>
      </c>
      <c r="C66" s="9" t="str">
        <f>'Hidden Lists and Summaries'!$C$157</f>
        <v>No default, please enter a bespoke value</v>
      </c>
      <c r="E66" s="1946"/>
    </row>
    <row r="67" spans="2:13" x14ac:dyDescent="0.25">
      <c r="B67" s="15" t="s">
        <v>1027</v>
      </c>
      <c r="C67" s="9" t="str">
        <f>'Hidden Lists and Summaries'!$C$157</f>
        <v>No default, please enter a bespoke value</v>
      </c>
      <c r="E67" s="1946"/>
    </row>
    <row r="68" spans="2:13" x14ac:dyDescent="0.25">
      <c r="B68" s="15" t="s">
        <v>1029</v>
      </c>
      <c r="C68" s="9" t="str">
        <f>'Hidden Lists and Summaries'!$C$157</f>
        <v>No default, please enter a bespoke value</v>
      </c>
      <c r="E68" s="1946"/>
    </row>
    <row r="69" spans="2:13" x14ac:dyDescent="0.25">
      <c r="C69" s="23"/>
    </row>
    <row r="70" spans="2:13" x14ac:dyDescent="0.25">
      <c r="B70" s="4" t="s">
        <v>1042</v>
      </c>
      <c r="C70" s="24"/>
      <c r="D70" s="1951" t="s">
        <v>1043</v>
      </c>
      <c r="E70" s="1951"/>
      <c r="F70" s="1951"/>
      <c r="G70" s="5"/>
      <c r="H70" s="5"/>
      <c r="I70" s="11"/>
      <c r="J70" s="11"/>
    </row>
    <row r="71" spans="2:13" x14ac:dyDescent="0.25">
      <c r="B71" s="1542" t="s">
        <v>1044</v>
      </c>
      <c r="C71" s="26" t="s">
        <v>1045</v>
      </c>
      <c r="D71" s="26" t="s">
        <v>548</v>
      </c>
      <c r="E71" s="26" t="s">
        <v>1017</v>
      </c>
      <c r="F71" s="26" t="s">
        <v>1018</v>
      </c>
      <c r="G71" s="27" t="s">
        <v>1019</v>
      </c>
      <c r="H71" s="27" t="s">
        <v>1046</v>
      </c>
      <c r="I71" s="11"/>
      <c r="J71" s="7" t="s">
        <v>198</v>
      </c>
    </row>
    <row r="72" spans="2:13" x14ac:dyDescent="0.25">
      <c r="B72" s="15" t="s">
        <v>1047</v>
      </c>
      <c r="C72" s="34">
        <v>3.9300000000000002E-2</v>
      </c>
      <c r="D72" s="9">
        <v>51.4</v>
      </c>
      <c r="E72" s="9">
        <v>0.1</v>
      </c>
      <c r="F72" s="9">
        <v>0.03</v>
      </c>
      <c r="G72" s="9">
        <f>SUM('Key Values'!$D72:$F72)</f>
        <v>51.53</v>
      </c>
      <c r="H72" s="9" t="b">
        <v>1</v>
      </c>
      <c r="J72" s="1946" t="s">
        <v>1021</v>
      </c>
    </row>
    <row r="73" spans="2:13" x14ac:dyDescent="0.25">
      <c r="B73" s="15" t="s">
        <v>1048</v>
      </c>
      <c r="C73" s="34">
        <v>3.7699999999999997E-2</v>
      </c>
      <c r="D73" s="9">
        <v>51.4</v>
      </c>
      <c r="E73" s="9">
        <v>0.2</v>
      </c>
      <c r="F73" s="9">
        <v>0.03</v>
      </c>
      <c r="G73" s="9">
        <f>SUM('Key Values'!$D73:$F73)</f>
        <v>51.63</v>
      </c>
      <c r="H73" s="9" t="b">
        <v>0</v>
      </c>
      <c r="J73" s="1946"/>
    </row>
    <row r="74" spans="2:13" x14ac:dyDescent="0.25">
      <c r="B74" s="15" t="s">
        <v>1049</v>
      </c>
      <c r="C74" s="34">
        <v>3.7699999999999997E-2</v>
      </c>
      <c r="D74" s="9">
        <v>51.9</v>
      </c>
      <c r="E74" s="9">
        <v>4.5999999999999996</v>
      </c>
      <c r="F74" s="9">
        <v>0.3</v>
      </c>
      <c r="G74" s="9">
        <f>SUM('Key Values'!$D74:$F74)</f>
        <v>56.8</v>
      </c>
      <c r="H74" s="9" t="b">
        <v>0</v>
      </c>
      <c r="J74" s="1946"/>
    </row>
    <row r="75" spans="2:13" ht="25" x14ac:dyDescent="0.25">
      <c r="B75" s="15" t="s">
        <v>1050</v>
      </c>
      <c r="C75" s="34">
        <v>3.9300000000000002E-2</v>
      </c>
      <c r="D75" s="9">
        <v>51.4</v>
      </c>
      <c r="E75" s="9">
        <v>0.1</v>
      </c>
      <c r="F75" s="9">
        <v>0.03</v>
      </c>
      <c r="G75" s="9">
        <f>SUM('Key Values'!$D75:$F75)</f>
        <v>51.53</v>
      </c>
      <c r="H75" s="9" t="b">
        <v>0</v>
      </c>
      <c r="J75" s="1946"/>
      <c r="M75" s="35"/>
    </row>
    <row r="76" spans="2:13" x14ac:dyDescent="0.25">
      <c r="B76" s="15" t="s">
        <v>1051</v>
      </c>
      <c r="C76" s="34">
        <v>3.9300000000000002E-2</v>
      </c>
      <c r="D76" s="9">
        <v>51.4</v>
      </c>
      <c r="E76" s="9">
        <v>0.1</v>
      </c>
      <c r="F76" s="9">
        <v>0.03</v>
      </c>
      <c r="G76" s="9">
        <f>SUM('Key Values'!$D76:$F76)</f>
        <v>51.53</v>
      </c>
      <c r="H76" s="9" t="b">
        <v>0</v>
      </c>
      <c r="J76" s="1946"/>
    </row>
    <row r="77" spans="2:13" x14ac:dyDescent="0.25">
      <c r="B77" s="15" t="s">
        <v>1052</v>
      </c>
      <c r="C77" s="34">
        <v>6.2899999999999998E-2</v>
      </c>
      <c r="D77" s="9">
        <v>56.5</v>
      </c>
      <c r="E77" s="9">
        <v>0.03</v>
      </c>
      <c r="F77" s="9">
        <v>0.03</v>
      </c>
      <c r="G77" s="9">
        <f>SUM('Key Values'!$D77:$F77)</f>
        <v>56.56</v>
      </c>
      <c r="H77" s="9" t="b">
        <v>0</v>
      </c>
      <c r="J77" s="1946"/>
    </row>
    <row r="78" spans="2:13" x14ac:dyDescent="0.25">
      <c r="B78" s="15" t="s">
        <v>1053</v>
      </c>
      <c r="C78" s="34">
        <v>1.8100000000000002E-2</v>
      </c>
      <c r="D78" s="9">
        <v>37</v>
      </c>
      <c r="E78" s="9">
        <v>0.03</v>
      </c>
      <c r="F78" s="9">
        <v>0.05</v>
      </c>
      <c r="G78" s="9">
        <f>SUM('Key Values'!$D78:$F78)</f>
        <v>37.08</v>
      </c>
      <c r="H78" s="9" t="b">
        <v>0</v>
      </c>
      <c r="J78" s="1946"/>
    </row>
    <row r="79" spans="2:13" x14ac:dyDescent="0.25">
      <c r="B79" s="15" t="s">
        <v>1054</v>
      </c>
      <c r="C79" s="34">
        <v>4.0000000000000001E-3</v>
      </c>
      <c r="D79" s="9">
        <v>234</v>
      </c>
      <c r="E79" s="9">
        <v>0.03</v>
      </c>
      <c r="F79" s="9">
        <v>0.02</v>
      </c>
      <c r="G79" s="9">
        <f>SUM('Key Values'!$D79:$F79)</f>
        <v>234.05</v>
      </c>
      <c r="H79" s="9" t="b">
        <v>0</v>
      </c>
      <c r="J79" s="1946"/>
    </row>
    <row r="80" spans="2:13" x14ac:dyDescent="0.25">
      <c r="B80" s="15" t="s">
        <v>1055</v>
      </c>
      <c r="C80" s="34">
        <v>3.9E-2</v>
      </c>
      <c r="D80" s="9">
        <v>60.2</v>
      </c>
      <c r="E80" s="9">
        <v>0.04</v>
      </c>
      <c r="F80" s="9">
        <v>0.03</v>
      </c>
      <c r="G80" s="9">
        <f>SUM('Key Values'!$D80:$F80)</f>
        <v>60.27</v>
      </c>
      <c r="H80" s="9" t="b">
        <v>0</v>
      </c>
      <c r="J80" s="1946"/>
    </row>
    <row r="81" spans="2:10" x14ac:dyDescent="0.25">
      <c r="B81" s="15" t="s">
        <v>1056</v>
      </c>
      <c r="C81" s="9">
        <v>25.3</v>
      </c>
      <c r="D81" s="9">
        <v>51.4</v>
      </c>
      <c r="E81" s="9">
        <v>0.1</v>
      </c>
      <c r="F81" s="9">
        <v>0.03</v>
      </c>
      <c r="G81" s="9">
        <f>SUM('Key Values'!$D81:$F81)</f>
        <v>51.53</v>
      </c>
      <c r="H81" s="9" t="b">
        <v>0</v>
      </c>
      <c r="J81" s="1946"/>
    </row>
    <row r="82" spans="2:10" x14ac:dyDescent="0.25">
      <c r="B82" s="15" t="s">
        <v>1057</v>
      </c>
      <c r="C82" s="34">
        <v>3.9300000000000002E-2</v>
      </c>
      <c r="D82" s="9">
        <v>51.4</v>
      </c>
      <c r="E82" s="9">
        <v>0.1</v>
      </c>
      <c r="F82" s="9">
        <v>0.03</v>
      </c>
      <c r="G82" s="9">
        <f>SUM('Key Values'!$D82:$F82)</f>
        <v>51.53</v>
      </c>
      <c r="H82" s="9" t="b">
        <v>0</v>
      </c>
      <c r="J82" s="1946"/>
    </row>
    <row r="83" spans="2:10" ht="15" customHeight="1" x14ac:dyDescent="0.25">
      <c r="B83" s="1842" t="s">
        <v>1058</v>
      </c>
      <c r="C83" s="34">
        <v>3.7699999999999997E-2</v>
      </c>
      <c r="D83" s="9">
        <v>0</v>
      </c>
      <c r="E83" s="9">
        <v>6.4</v>
      </c>
      <c r="F83" s="9">
        <v>0.03</v>
      </c>
      <c r="G83" s="9">
        <f>SUM('Key Values'!$D83:$F83)</f>
        <v>6.4300000000000006</v>
      </c>
      <c r="H83" s="9" t="b">
        <v>0</v>
      </c>
      <c r="J83" s="1946"/>
    </row>
    <row r="84" spans="2:10" ht="15" customHeight="1" x14ac:dyDescent="0.25">
      <c r="B84" s="1842" t="s">
        <v>1059</v>
      </c>
      <c r="C84" s="34">
        <v>3.7699999999999997E-2</v>
      </c>
      <c r="D84" s="9">
        <v>0</v>
      </c>
      <c r="E84" s="9">
        <v>6.4</v>
      </c>
      <c r="F84" s="9">
        <v>0.03</v>
      </c>
      <c r="G84" s="9">
        <f>SUM('Key Values'!$D84:$F84)</f>
        <v>6.4300000000000006</v>
      </c>
      <c r="H84" s="9" t="b">
        <v>0</v>
      </c>
      <c r="J84" s="1946"/>
    </row>
    <row r="85" spans="2:10" ht="25" x14ac:dyDescent="0.25">
      <c r="B85" s="15" t="s">
        <v>1060</v>
      </c>
      <c r="C85" s="34">
        <v>3.7699999999999997E-2</v>
      </c>
      <c r="D85" s="9">
        <v>0</v>
      </c>
      <c r="E85" s="9">
        <v>6.4</v>
      </c>
      <c r="F85" s="9">
        <v>0.03</v>
      </c>
      <c r="G85" s="9">
        <f>SUM('Key Values'!$D85:$F85)</f>
        <v>6.4300000000000006</v>
      </c>
      <c r="H85" s="9" t="b">
        <v>0</v>
      </c>
      <c r="J85" s="1946"/>
    </row>
    <row r="86" spans="2:10" x14ac:dyDescent="0.25">
      <c r="B86" s="15" t="s">
        <v>1061</v>
      </c>
      <c r="C86" s="754">
        <v>3.9300000000000002E-2</v>
      </c>
      <c r="D86" s="9">
        <v>0</v>
      </c>
      <c r="E86" s="9">
        <v>0.1</v>
      </c>
      <c r="F86" s="9">
        <v>0.03</v>
      </c>
      <c r="G86" s="9">
        <f>SUM('Key Values'!$D86:$F86)</f>
        <v>0.13</v>
      </c>
      <c r="H86" s="9" t="b">
        <v>0</v>
      </c>
      <c r="J86" s="197"/>
    </row>
    <row r="87" spans="2:10" x14ac:dyDescent="0.25">
      <c r="C87" s="23"/>
      <c r="J87" s="197"/>
    </row>
    <row r="88" spans="2:10" x14ac:dyDescent="0.25">
      <c r="B88" s="4" t="s">
        <v>1062</v>
      </c>
      <c r="C88" s="28"/>
      <c r="D88" s="4"/>
      <c r="E88" s="4"/>
      <c r="F88" s="4"/>
      <c r="G88" s="4"/>
      <c r="H88" s="5"/>
      <c r="J88" s="197"/>
    </row>
    <row r="89" spans="2:10" x14ac:dyDescent="0.25">
      <c r="B89" s="19" t="s">
        <v>1063</v>
      </c>
      <c r="C89" s="19" t="s">
        <v>1064</v>
      </c>
      <c r="D89" s="19" t="s">
        <v>1065</v>
      </c>
      <c r="E89" s="4"/>
      <c r="F89" s="7" t="s">
        <v>198</v>
      </c>
      <c r="G89" s="4"/>
      <c r="H89" s="5"/>
      <c r="J89" s="197"/>
    </row>
    <row r="90" spans="2:10" x14ac:dyDescent="0.25">
      <c r="B90" s="15" t="s">
        <v>984</v>
      </c>
      <c r="C90" s="9">
        <v>13.1</v>
      </c>
      <c r="D90" s="9">
        <v>14</v>
      </c>
      <c r="F90" s="1946" t="s">
        <v>1041</v>
      </c>
    </row>
    <row r="91" spans="2:10" x14ac:dyDescent="0.25">
      <c r="B91" s="15" t="s">
        <v>985</v>
      </c>
      <c r="C91" s="9">
        <f>C90</f>
        <v>13.1</v>
      </c>
      <c r="D91" s="9">
        <f>D90</f>
        <v>14</v>
      </c>
      <c r="F91" s="1946"/>
    </row>
    <row r="92" spans="2:10" x14ac:dyDescent="0.25">
      <c r="B92" s="15" t="s">
        <v>987</v>
      </c>
      <c r="C92" s="9">
        <v>4</v>
      </c>
      <c r="D92" s="9">
        <v>4</v>
      </c>
      <c r="F92" s="1946"/>
    </row>
    <row r="93" spans="2:10" x14ac:dyDescent="0.25">
      <c r="B93" s="15" t="s">
        <v>34</v>
      </c>
      <c r="C93" s="9">
        <v>8.8000000000000007</v>
      </c>
      <c r="D93" s="9">
        <v>7.9</v>
      </c>
      <c r="F93" s="1946"/>
    </row>
    <row r="94" spans="2:10" x14ac:dyDescent="0.25">
      <c r="B94" s="15" t="s">
        <v>986</v>
      </c>
      <c r="C94" s="9">
        <v>10.7</v>
      </c>
      <c r="D94" s="9">
        <v>10.6</v>
      </c>
      <c r="F94" s="1946"/>
    </row>
    <row r="95" spans="2:10" x14ac:dyDescent="0.25">
      <c r="B95" s="15" t="s">
        <v>989</v>
      </c>
      <c r="C95" s="9">
        <v>4.0999999999999996</v>
      </c>
      <c r="D95" s="9">
        <v>4</v>
      </c>
      <c r="F95" s="1946"/>
    </row>
    <row r="96" spans="2:10" x14ac:dyDescent="0.25">
      <c r="B96" s="15" t="s">
        <v>988</v>
      </c>
      <c r="C96" s="9" t="str">
        <f>'Hidden Lists and Summaries'!$C$157</f>
        <v>No default, please enter a bespoke value</v>
      </c>
      <c r="D96" s="9" t="str">
        <f>'Hidden Lists and Summaries'!$C$157</f>
        <v>No default, please enter a bespoke value</v>
      </c>
      <c r="F96" s="1946"/>
    </row>
    <row r="97" spans="2:10" x14ac:dyDescent="0.25">
      <c r="B97" s="15" t="s">
        <v>981</v>
      </c>
      <c r="C97" s="9" t="str">
        <f>'Hidden Lists and Summaries'!$C$157</f>
        <v>No default, please enter a bespoke value</v>
      </c>
      <c r="D97" s="9" t="str">
        <f>'Hidden Lists and Summaries'!$C$157</f>
        <v>No default, please enter a bespoke value</v>
      </c>
      <c r="F97" s="1946"/>
    </row>
    <row r="98" spans="2:10" x14ac:dyDescent="0.25">
      <c r="C98" s="23"/>
    </row>
    <row r="99" spans="2:10" x14ac:dyDescent="0.25">
      <c r="B99" s="4" t="s">
        <v>1066</v>
      </c>
      <c r="C99" s="24"/>
      <c r="D99" s="5"/>
      <c r="E99" s="5"/>
      <c r="F99" s="5"/>
      <c r="G99" s="5"/>
      <c r="H99" s="5"/>
      <c r="I99" s="11"/>
      <c r="J99" s="11"/>
    </row>
    <row r="100" spans="2:10" x14ac:dyDescent="0.25">
      <c r="B100" s="746" t="s">
        <v>1067</v>
      </c>
      <c r="C100" s="20" t="s">
        <v>1045</v>
      </c>
      <c r="D100" s="19" t="s">
        <v>980</v>
      </c>
      <c r="E100" s="21" t="s">
        <v>1043</v>
      </c>
      <c r="F100" s="21" t="s">
        <v>1017</v>
      </c>
      <c r="G100" s="21" t="s">
        <v>1018</v>
      </c>
      <c r="H100" s="22" t="s">
        <v>1019</v>
      </c>
      <c r="I100" s="11"/>
      <c r="J100" s="7" t="s">
        <v>198</v>
      </c>
    </row>
    <row r="101" spans="2:10" ht="25" x14ac:dyDescent="0.25">
      <c r="B101" s="15" t="s">
        <v>1068</v>
      </c>
      <c r="C101" s="9">
        <v>38.799999999999997</v>
      </c>
      <c r="D101" s="9" t="s">
        <v>1069</v>
      </c>
      <c r="E101" s="9">
        <v>13.9</v>
      </c>
      <c r="F101" s="9">
        <v>0</v>
      </c>
      <c r="G101" s="9">
        <v>0</v>
      </c>
      <c r="H101" s="9">
        <f>SUM('Key Values'!$E101:$G101)</f>
        <v>13.9</v>
      </c>
      <c r="J101" s="1946" t="s">
        <v>1021</v>
      </c>
    </row>
    <row r="102" spans="2:10" x14ac:dyDescent="0.25">
      <c r="B102" s="15" t="s">
        <v>1070</v>
      </c>
      <c r="C102" s="9">
        <v>38.799999999999997</v>
      </c>
      <c r="D102" s="9" t="s">
        <v>1069</v>
      </c>
      <c r="E102" s="9">
        <v>3.5</v>
      </c>
      <c r="F102" s="9">
        <v>0</v>
      </c>
      <c r="G102" s="9">
        <v>0</v>
      </c>
      <c r="H102" s="9">
        <f>SUM('Key Values'!$E102:$G102)</f>
        <v>3.5</v>
      </c>
      <c r="J102" s="1946"/>
    </row>
    <row r="103" spans="2:10" x14ac:dyDescent="0.25">
      <c r="B103" s="15" t="s">
        <v>1071</v>
      </c>
      <c r="C103" s="9">
        <v>45.3</v>
      </c>
      <c r="D103" s="9" t="s">
        <v>1072</v>
      </c>
      <c r="E103" s="9">
        <v>69.599999999999994</v>
      </c>
      <c r="F103" s="9">
        <v>0.08</v>
      </c>
      <c r="G103" s="9">
        <v>0.2</v>
      </c>
      <c r="H103" s="9">
        <f>SUM('Key Values'!$E103:$G103)</f>
        <v>69.88</v>
      </c>
      <c r="J103" s="1946"/>
    </row>
    <row r="104" spans="2:10" ht="25" x14ac:dyDescent="0.25">
      <c r="B104" s="15" t="s">
        <v>1073</v>
      </c>
      <c r="C104" s="9">
        <v>46.5</v>
      </c>
      <c r="D104" s="9" t="s">
        <v>1072</v>
      </c>
      <c r="E104" s="9">
        <v>61</v>
      </c>
      <c r="F104" s="9">
        <v>0.08</v>
      </c>
      <c r="G104" s="9">
        <v>0.2</v>
      </c>
      <c r="H104" s="9">
        <f>SUM('Key Values'!$E104:$G104)</f>
        <v>61.28</v>
      </c>
      <c r="J104" s="1946"/>
    </row>
    <row r="105" spans="2:10" x14ac:dyDescent="0.25">
      <c r="B105" s="15" t="s">
        <v>1074</v>
      </c>
      <c r="C105" s="9">
        <v>34.200000000000003</v>
      </c>
      <c r="D105" s="9" t="s">
        <v>1069</v>
      </c>
      <c r="E105" s="9">
        <v>67.400000000000006</v>
      </c>
      <c r="F105" s="9">
        <v>0.2</v>
      </c>
      <c r="G105" s="9">
        <v>0.2</v>
      </c>
      <c r="H105" s="9">
        <f>SUM('Key Values'!$E105:$G105)</f>
        <v>67.800000000000011</v>
      </c>
      <c r="J105" s="1946"/>
    </row>
    <row r="106" spans="2:10" x14ac:dyDescent="0.25">
      <c r="B106" s="15" t="s">
        <v>1075</v>
      </c>
      <c r="C106" s="9">
        <v>33.1</v>
      </c>
      <c r="D106" s="9" t="s">
        <v>1069</v>
      </c>
      <c r="E106" s="9">
        <v>67</v>
      </c>
      <c r="F106" s="9">
        <v>0.2</v>
      </c>
      <c r="G106" s="9">
        <v>0.2</v>
      </c>
      <c r="H106" s="9">
        <f>SUM('Key Values'!$E106:$G106)</f>
        <v>67.400000000000006</v>
      </c>
      <c r="J106" s="1946"/>
    </row>
    <row r="107" spans="2:10" x14ac:dyDescent="0.25">
      <c r="B107" s="15" t="s">
        <v>1076</v>
      </c>
      <c r="C107" s="9">
        <v>37.5</v>
      </c>
      <c r="D107" s="9" t="s">
        <v>1069</v>
      </c>
      <c r="E107" s="9">
        <v>68.900000000000006</v>
      </c>
      <c r="F107" s="9">
        <v>0.01</v>
      </c>
      <c r="G107" s="9">
        <v>0.2</v>
      </c>
      <c r="H107" s="9">
        <f>SUM('Key Values'!$E107:$G107)</f>
        <v>69.110000000000014</v>
      </c>
      <c r="J107" s="1946"/>
    </row>
    <row r="108" spans="2:10" x14ac:dyDescent="0.25">
      <c r="B108" s="15" t="s">
        <v>1077</v>
      </c>
      <c r="C108" s="9">
        <v>36.799999999999997</v>
      </c>
      <c r="D108" s="9" t="s">
        <v>1069</v>
      </c>
      <c r="E108" s="9">
        <v>69.599999999999994</v>
      </c>
      <c r="F108" s="9">
        <v>0.02</v>
      </c>
      <c r="G108" s="9">
        <v>0.2</v>
      </c>
      <c r="H108" s="9">
        <f>SUM('Key Values'!$E108:$G108)</f>
        <v>69.819999999999993</v>
      </c>
      <c r="J108" s="1946"/>
    </row>
    <row r="109" spans="2:10" x14ac:dyDescent="0.25">
      <c r="B109" s="15" t="s">
        <v>1078</v>
      </c>
      <c r="C109" s="9">
        <v>37.299999999999997</v>
      </c>
      <c r="D109" s="9" t="s">
        <v>1069</v>
      </c>
      <c r="E109" s="9">
        <v>69.5</v>
      </c>
      <c r="F109" s="9">
        <v>0.03</v>
      </c>
      <c r="G109" s="9">
        <v>0.2</v>
      </c>
      <c r="H109" s="9">
        <f>SUM('Key Values'!$E109:$G109)</f>
        <v>69.73</v>
      </c>
      <c r="J109" s="1946"/>
    </row>
    <row r="110" spans="2:10" x14ac:dyDescent="0.25">
      <c r="B110" s="15" t="s">
        <v>656</v>
      </c>
      <c r="C110" s="9">
        <v>38.6</v>
      </c>
      <c r="D110" s="9" t="s">
        <v>1069</v>
      </c>
      <c r="E110" s="9">
        <v>69.900000000000006</v>
      </c>
      <c r="F110" s="9">
        <v>0.1</v>
      </c>
      <c r="G110" s="9">
        <v>0.2</v>
      </c>
      <c r="H110" s="9">
        <f>SUM('Key Values'!$E110:$G110)</f>
        <v>70.2</v>
      </c>
      <c r="J110" s="1946"/>
    </row>
    <row r="111" spans="2:10" x14ac:dyDescent="0.25">
      <c r="B111" s="15" t="s">
        <v>1079</v>
      </c>
      <c r="C111" s="9">
        <v>39.700000000000003</v>
      </c>
      <c r="D111" s="9" t="s">
        <v>1069</v>
      </c>
      <c r="E111" s="9">
        <v>73.599999999999994</v>
      </c>
      <c r="F111" s="9">
        <v>0.04</v>
      </c>
      <c r="G111" s="9">
        <v>0.2</v>
      </c>
      <c r="H111" s="9">
        <f>SUM('Key Values'!$E111:$G111)</f>
        <v>73.84</v>
      </c>
      <c r="J111" s="1946"/>
    </row>
    <row r="112" spans="2:10" x14ac:dyDescent="0.25">
      <c r="B112" s="15" t="s">
        <v>1080</v>
      </c>
      <c r="C112" s="9">
        <v>34.4</v>
      </c>
      <c r="D112" s="9" t="s">
        <v>1069</v>
      </c>
      <c r="E112" s="9">
        <v>69.7</v>
      </c>
      <c r="F112" s="9">
        <v>0.03</v>
      </c>
      <c r="G112" s="9">
        <v>0.2</v>
      </c>
      <c r="H112" s="9">
        <f>SUM('Key Values'!$E112:$G112)</f>
        <v>69.930000000000007</v>
      </c>
      <c r="J112" s="1946"/>
    </row>
    <row r="113" spans="2:10" x14ac:dyDescent="0.25">
      <c r="B113" s="15" t="s">
        <v>1081</v>
      </c>
      <c r="C113" s="9">
        <v>34.4</v>
      </c>
      <c r="D113" s="9" t="s">
        <v>1069</v>
      </c>
      <c r="E113" s="9">
        <v>69.7</v>
      </c>
      <c r="F113" s="9">
        <v>0.03</v>
      </c>
      <c r="G113" s="9">
        <v>0.2</v>
      </c>
      <c r="H113" s="9">
        <f>SUM('Key Values'!$E113:$G113)</f>
        <v>69.930000000000007</v>
      </c>
      <c r="J113" s="1946"/>
    </row>
    <row r="114" spans="2:10" x14ac:dyDescent="0.25">
      <c r="B114" s="15" t="s">
        <v>1082</v>
      </c>
      <c r="C114" s="9">
        <v>25.7</v>
      </c>
      <c r="D114" s="9" t="s">
        <v>1069</v>
      </c>
      <c r="E114" s="9">
        <v>60.2</v>
      </c>
      <c r="F114" s="9">
        <v>0.2</v>
      </c>
      <c r="G114" s="9">
        <v>0.2</v>
      </c>
      <c r="H114" s="9">
        <f>SUM('Key Values'!$E114:$G114)</f>
        <v>60.600000000000009</v>
      </c>
      <c r="J114" s="1946"/>
    </row>
    <row r="115" spans="2:10" x14ac:dyDescent="0.25">
      <c r="B115" s="15" t="s">
        <v>1083</v>
      </c>
      <c r="C115" s="9">
        <v>31.4</v>
      </c>
      <c r="D115" s="9" t="s">
        <v>1069</v>
      </c>
      <c r="E115" s="9">
        <v>69.8</v>
      </c>
      <c r="F115" s="9">
        <v>0.01</v>
      </c>
      <c r="G115" s="9">
        <v>0.01</v>
      </c>
      <c r="H115" s="9">
        <f>SUM('Key Values'!$E115:$G115)</f>
        <v>69.820000000000007</v>
      </c>
      <c r="J115" s="1946"/>
    </row>
    <row r="116" spans="2:10" x14ac:dyDescent="0.25">
      <c r="B116" s="15" t="s">
        <v>1084</v>
      </c>
      <c r="C116" s="9">
        <v>34.200000000000003</v>
      </c>
      <c r="D116" s="9" t="s">
        <v>1072</v>
      </c>
      <c r="E116" s="9">
        <v>92.6</v>
      </c>
      <c r="F116" s="9">
        <v>0.08</v>
      </c>
      <c r="G116" s="9">
        <v>0.2</v>
      </c>
      <c r="H116" s="9">
        <f>SUM('Key Values'!$E116:$G116)</f>
        <v>92.88</v>
      </c>
      <c r="J116" s="1946"/>
    </row>
    <row r="117" spans="2:10" x14ac:dyDescent="0.25">
      <c r="B117" s="15" t="s">
        <v>1085</v>
      </c>
      <c r="C117" s="9">
        <v>42.9</v>
      </c>
      <c r="D117" s="9" t="s">
        <v>1072</v>
      </c>
      <c r="E117" s="9">
        <v>54.7</v>
      </c>
      <c r="F117" s="9">
        <v>0.03</v>
      </c>
      <c r="G117" s="9">
        <v>0.03</v>
      </c>
      <c r="H117" s="9">
        <f>SUM('Key Values'!$E117:$G117)</f>
        <v>54.760000000000005</v>
      </c>
      <c r="J117" s="1946"/>
    </row>
    <row r="118" spans="2:10" x14ac:dyDescent="0.25">
      <c r="B118" s="15" t="s">
        <v>1086</v>
      </c>
      <c r="C118" s="9">
        <v>34.200000000000003</v>
      </c>
      <c r="D118" s="9" t="s">
        <v>1072</v>
      </c>
      <c r="E118" s="9">
        <v>92.6</v>
      </c>
      <c r="F118" s="9">
        <v>0.08</v>
      </c>
      <c r="G118" s="9">
        <v>0.2</v>
      </c>
      <c r="H118" s="9">
        <f>SUM('Key Values'!$E118:$G118)</f>
        <v>92.88</v>
      </c>
      <c r="J118" s="1946"/>
    </row>
    <row r="119" spans="2:10" x14ac:dyDescent="0.25">
      <c r="B119" s="15" t="s">
        <v>1087</v>
      </c>
      <c r="C119" s="9">
        <v>34.4</v>
      </c>
      <c r="D119" s="9" t="s">
        <v>1069</v>
      </c>
      <c r="E119" s="9">
        <v>69.8</v>
      </c>
      <c r="F119" s="9">
        <v>0.02</v>
      </c>
      <c r="G119" s="9">
        <v>0.1</v>
      </c>
      <c r="H119" s="9">
        <f>SUM('Key Values'!$E119:$G119)</f>
        <v>69.919999999999987</v>
      </c>
      <c r="J119" s="1946"/>
    </row>
    <row r="120" spans="2:10" x14ac:dyDescent="0.25">
      <c r="B120" s="15" t="s">
        <v>1088</v>
      </c>
      <c r="C120" s="9">
        <v>34.6</v>
      </c>
      <c r="D120" s="9" t="s">
        <v>1069</v>
      </c>
      <c r="E120" s="9">
        <v>0</v>
      </c>
      <c r="F120" s="9">
        <v>0.08</v>
      </c>
      <c r="G120" s="9">
        <v>0.2</v>
      </c>
      <c r="H120" s="9">
        <f>SUM('Key Values'!$E120:$G120)</f>
        <v>0.28000000000000003</v>
      </c>
      <c r="J120" s="1946"/>
    </row>
    <row r="121" spans="2:10" x14ac:dyDescent="0.25">
      <c r="C121" s="23"/>
    </row>
    <row r="122" spans="2:10" x14ac:dyDescent="0.25">
      <c r="B122" s="4" t="s">
        <v>1089</v>
      </c>
      <c r="C122" s="24"/>
      <c r="D122" s="5"/>
      <c r="E122" s="5"/>
      <c r="F122" s="5"/>
      <c r="G122" s="5"/>
      <c r="H122" s="5"/>
    </row>
    <row r="123" spans="2:10" x14ac:dyDescent="0.25">
      <c r="B123" s="25" t="s">
        <v>1067</v>
      </c>
      <c r="C123" s="19" t="s">
        <v>1090</v>
      </c>
      <c r="D123" s="4"/>
      <c r="E123" s="7" t="s">
        <v>198</v>
      </c>
      <c r="F123" s="5"/>
      <c r="G123" s="5"/>
      <c r="H123" s="5"/>
    </row>
    <row r="124" spans="2:10" ht="25" x14ac:dyDescent="0.25">
      <c r="B124" s="15" t="s">
        <v>1068</v>
      </c>
      <c r="C124" s="9">
        <v>18</v>
      </c>
      <c r="E124" s="1946" t="s">
        <v>1041</v>
      </c>
    </row>
    <row r="125" spans="2:10" x14ac:dyDescent="0.25">
      <c r="B125" s="15" t="s">
        <v>1070</v>
      </c>
      <c r="C125" s="9">
        <v>18</v>
      </c>
      <c r="E125" s="1946"/>
    </row>
    <row r="126" spans="2:10" x14ac:dyDescent="0.25">
      <c r="B126" s="15" t="s">
        <v>1071</v>
      </c>
      <c r="C126" s="9" t="s">
        <v>1091</v>
      </c>
      <c r="E126" s="1946"/>
    </row>
    <row r="127" spans="2:10" ht="25" x14ac:dyDescent="0.25">
      <c r="B127" s="15" t="s">
        <v>1073</v>
      </c>
      <c r="C127" s="9" t="s">
        <v>1091</v>
      </c>
      <c r="E127" s="1946"/>
    </row>
    <row r="128" spans="2:10" x14ac:dyDescent="0.25">
      <c r="B128" s="15" t="s">
        <v>1074</v>
      </c>
      <c r="C128" s="9">
        <v>17.2</v>
      </c>
      <c r="E128" s="1946"/>
    </row>
    <row r="129" spans="2:5" x14ac:dyDescent="0.25">
      <c r="B129" s="15" t="s">
        <v>1075</v>
      </c>
      <c r="C129" s="9">
        <v>18</v>
      </c>
      <c r="E129" s="1946"/>
    </row>
    <row r="130" spans="2:5" x14ac:dyDescent="0.25">
      <c r="B130" s="15" t="s">
        <v>1076</v>
      </c>
      <c r="C130" s="9">
        <v>18</v>
      </c>
      <c r="E130" s="1946"/>
    </row>
    <row r="131" spans="2:5" x14ac:dyDescent="0.25">
      <c r="B131" s="15" t="s">
        <v>1077</v>
      </c>
      <c r="C131" s="9">
        <v>18</v>
      </c>
      <c r="E131" s="1946"/>
    </row>
    <row r="132" spans="2:5" x14ac:dyDescent="0.25">
      <c r="B132" s="15" t="s">
        <v>1078</v>
      </c>
      <c r="C132" s="9">
        <v>18</v>
      </c>
      <c r="E132" s="1946"/>
    </row>
    <row r="133" spans="2:5" x14ac:dyDescent="0.25">
      <c r="B133" s="15" t="s">
        <v>656</v>
      </c>
      <c r="C133" s="9">
        <v>17.3</v>
      </c>
      <c r="E133" s="1946"/>
    </row>
    <row r="134" spans="2:5" x14ac:dyDescent="0.25">
      <c r="B134" s="15" t="s">
        <v>1079</v>
      </c>
      <c r="C134" s="9">
        <v>18</v>
      </c>
      <c r="E134" s="1946"/>
    </row>
    <row r="135" spans="2:5" x14ac:dyDescent="0.25">
      <c r="B135" s="15" t="s">
        <v>1080</v>
      </c>
      <c r="C135" s="9">
        <v>18</v>
      </c>
      <c r="E135" s="1946"/>
    </row>
    <row r="136" spans="2:5" x14ac:dyDescent="0.25">
      <c r="B136" s="15" t="s">
        <v>1081</v>
      </c>
      <c r="C136" s="9">
        <v>18</v>
      </c>
      <c r="E136" s="1946"/>
    </row>
    <row r="137" spans="2:5" x14ac:dyDescent="0.25">
      <c r="B137" s="15" t="s">
        <v>1082</v>
      </c>
      <c r="C137" s="9">
        <v>20.2</v>
      </c>
      <c r="E137" s="1946"/>
    </row>
    <row r="138" spans="2:5" x14ac:dyDescent="0.25">
      <c r="B138" s="15" t="s">
        <v>1083</v>
      </c>
      <c r="C138" s="9">
        <v>18</v>
      </c>
      <c r="E138" s="1946"/>
    </row>
    <row r="139" spans="2:5" x14ac:dyDescent="0.25">
      <c r="B139" s="15" t="s">
        <v>1084</v>
      </c>
      <c r="C139" s="9">
        <v>18</v>
      </c>
      <c r="E139" s="1946"/>
    </row>
    <row r="140" spans="2:5" x14ac:dyDescent="0.25">
      <c r="B140" s="15" t="s">
        <v>1085</v>
      </c>
      <c r="C140" s="9">
        <v>18</v>
      </c>
      <c r="E140" s="1946"/>
    </row>
    <row r="141" spans="2:5" x14ac:dyDescent="0.25">
      <c r="B141" s="15" t="s">
        <v>1086</v>
      </c>
      <c r="C141" s="9">
        <v>18</v>
      </c>
      <c r="E141" s="1946"/>
    </row>
    <row r="142" spans="2:5" x14ac:dyDescent="0.25">
      <c r="B142" s="15" t="s">
        <v>1087</v>
      </c>
      <c r="C142" s="9">
        <v>18</v>
      </c>
      <c r="E142" s="1946"/>
    </row>
    <row r="143" spans="2:5" x14ac:dyDescent="0.25">
      <c r="B143" s="15" t="s">
        <v>1088</v>
      </c>
      <c r="C143" s="9" t="s">
        <v>1091</v>
      </c>
    </row>
    <row r="144" spans="2:5" x14ac:dyDescent="0.25">
      <c r="C144" s="23"/>
    </row>
    <row r="145" spans="2:8" x14ac:dyDescent="0.25">
      <c r="B145" s="4" t="s">
        <v>1092</v>
      </c>
      <c r="C145" s="24"/>
      <c r="D145" s="5"/>
      <c r="E145" s="5"/>
      <c r="F145" s="5"/>
      <c r="G145" s="5"/>
      <c r="H145" s="5"/>
    </row>
    <row r="146" spans="2:8" x14ac:dyDescent="0.25">
      <c r="B146" s="6" t="s">
        <v>1093</v>
      </c>
      <c r="C146" s="814" t="s">
        <v>1094</v>
      </c>
      <c r="D146" s="6" t="s">
        <v>81</v>
      </c>
      <c r="E146" s="7" t="s">
        <v>198</v>
      </c>
      <c r="F146" s="5"/>
      <c r="G146" s="5"/>
      <c r="H146" s="5"/>
    </row>
    <row r="147" spans="2:8" ht="15" customHeight="1" x14ac:dyDescent="0.25">
      <c r="B147" s="9" t="s">
        <v>1095</v>
      </c>
      <c r="C147" s="9">
        <f>0.68+0.09</f>
        <v>0.77</v>
      </c>
      <c r="D147" s="9" t="s">
        <v>569</v>
      </c>
      <c r="E147" s="197" t="s">
        <v>1041</v>
      </c>
    </row>
    <row r="148" spans="2:8" s="9" customFormat="1" ht="13" x14ac:dyDescent="0.25">
      <c r="B148" s="9" t="s">
        <v>1096</v>
      </c>
      <c r="C148" s="9">
        <v>0.188</v>
      </c>
      <c r="D148" s="9" t="s">
        <v>409</v>
      </c>
      <c r="E148" s="197" t="s">
        <v>1041</v>
      </c>
    </row>
    <row r="149" spans="2:8" s="9" customFormat="1" ht="13" x14ac:dyDescent="0.25">
      <c r="B149" s="9" t="s">
        <v>1097</v>
      </c>
      <c r="C149" s="9">
        <v>0.95499999999999996</v>
      </c>
      <c r="D149" s="9" t="s">
        <v>569</v>
      </c>
      <c r="E149" s="197" t="s">
        <v>1041</v>
      </c>
    </row>
    <row r="150" spans="2:8" s="9" customFormat="1" ht="13" x14ac:dyDescent="0.25">
      <c r="B150" s="9" t="s">
        <v>1098</v>
      </c>
      <c r="C150" s="9">
        <v>0</v>
      </c>
      <c r="E150" s="197"/>
    </row>
    <row r="151" spans="2:8" x14ac:dyDescent="0.25">
      <c r="B151" s="9" t="s">
        <v>1099</v>
      </c>
      <c r="C151" s="9">
        <v>0.74099999999999999</v>
      </c>
      <c r="D151" s="9" t="s">
        <v>409</v>
      </c>
      <c r="E151" s="197" t="s">
        <v>1041</v>
      </c>
    </row>
    <row r="152" spans="2:8" x14ac:dyDescent="0.25">
      <c r="B152" s="9"/>
      <c r="C152" s="9"/>
      <c r="D152" s="9"/>
    </row>
    <row r="153" spans="2:8" x14ac:dyDescent="0.25">
      <c r="B153" s="4" t="s">
        <v>1100</v>
      </c>
      <c r="C153" s="29"/>
      <c r="D153" s="30"/>
      <c r="E153" s="30"/>
      <c r="F153" s="30"/>
      <c r="G153" s="30"/>
      <c r="H153" s="30"/>
    </row>
    <row r="154" spans="2:8" x14ac:dyDescent="0.25">
      <c r="B154" s="19" t="s">
        <v>1101</v>
      </c>
      <c r="C154" s="29"/>
      <c r="D154" s="30"/>
      <c r="E154" s="30"/>
      <c r="F154" s="30"/>
      <c r="G154" s="30"/>
      <c r="H154" s="30"/>
    </row>
    <row r="155" spans="2:8" x14ac:dyDescent="0.25">
      <c r="B155" s="9" t="s">
        <v>89</v>
      </c>
      <c r="C155" s="23"/>
    </row>
    <row r="156" spans="2:8" x14ac:dyDescent="0.25">
      <c r="B156" s="9" t="s">
        <v>91</v>
      </c>
      <c r="C156" s="23"/>
    </row>
    <row r="157" spans="2:8" x14ac:dyDescent="0.25">
      <c r="B157" s="9"/>
      <c r="C157" s="23"/>
    </row>
    <row r="158" spans="2:8" x14ac:dyDescent="0.25">
      <c r="B158" s="4" t="s">
        <v>1102</v>
      </c>
      <c r="C158" s="29"/>
      <c r="D158" s="30"/>
      <c r="E158" s="30"/>
      <c r="F158" s="30"/>
      <c r="G158" s="30"/>
      <c r="H158" s="30"/>
    </row>
    <row r="159" spans="2:8" x14ac:dyDescent="0.25">
      <c r="B159" s="19" t="s">
        <v>1103</v>
      </c>
      <c r="C159" s="29"/>
      <c r="D159" s="30"/>
      <c r="E159" s="30"/>
      <c r="F159" s="30"/>
      <c r="G159" s="30"/>
      <c r="H159" s="30"/>
    </row>
    <row r="160" spans="2:8" x14ac:dyDescent="0.25">
      <c r="B160" s="9" t="s">
        <v>1104</v>
      </c>
      <c r="C160" s="23"/>
    </row>
    <row r="161" spans="2:8" x14ac:dyDescent="0.25">
      <c r="B161" s="9" t="s">
        <v>1105</v>
      </c>
      <c r="C161" s="23"/>
    </row>
    <row r="162" spans="2:8" x14ac:dyDescent="0.25">
      <c r="B162" s="9"/>
      <c r="C162" s="23"/>
    </row>
    <row r="163" spans="2:8" x14ac:dyDescent="0.25">
      <c r="B163" s="4" t="s">
        <v>1361</v>
      </c>
      <c r="C163" s="28"/>
      <c r="D163" s="4"/>
      <c r="E163" s="4"/>
      <c r="F163" s="4"/>
      <c r="G163" s="4"/>
      <c r="H163" s="4"/>
    </row>
    <row r="164" spans="2:8" x14ac:dyDescent="0.25">
      <c r="B164" s="19" t="s">
        <v>978</v>
      </c>
      <c r="C164" s="25" t="s">
        <v>1106</v>
      </c>
      <c r="D164" s="19"/>
      <c r="E164" s="7" t="s">
        <v>198</v>
      </c>
      <c r="F164" s="4"/>
      <c r="G164" s="4"/>
      <c r="H164" s="4"/>
    </row>
    <row r="165" spans="2:8" x14ac:dyDescent="0.25">
      <c r="B165" s="9" t="s">
        <v>984</v>
      </c>
      <c r="C165" s="9">
        <v>0.73</v>
      </c>
      <c r="E165" s="1946" t="s">
        <v>1021</v>
      </c>
    </row>
    <row r="166" spans="2:8" x14ac:dyDescent="0.25">
      <c r="B166" s="9" t="s">
        <v>985</v>
      </c>
      <c r="C166" s="9">
        <v>0.73</v>
      </c>
      <c r="E166" s="1946"/>
    </row>
    <row r="167" spans="2:8" x14ac:dyDescent="0.25">
      <c r="B167" s="9" t="s">
        <v>987</v>
      </c>
      <c r="C167" s="9">
        <v>0.85</v>
      </c>
      <c r="E167" s="1946"/>
    </row>
    <row r="168" spans="2:8" x14ac:dyDescent="0.25">
      <c r="B168" s="9" t="s">
        <v>34</v>
      </c>
      <c r="C168" s="9">
        <v>0.73</v>
      </c>
      <c r="E168" s="1946"/>
    </row>
    <row r="169" spans="2:8" x14ac:dyDescent="0.25">
      <c r="B169" s="9" t="s">
        <v>986</v>
      </c>
      <c r="C169" s="9">
        <v>0.25</v>
      </c>
      <c r="E169" s="1946"/>
    </row>
    <row r="170" spans="2:8" x14ac:dyDescent="0.25">
      <c r="B170" s="9" t="s">
        <v>989</v>
      </c>
      <c r="C170" s="9">
        <v>0.51</v>
      </c>
      <c r="E170" s="1946"/>
    </row>
    <row r="171" spans="2:8" x14ac:dyDescent="0.25">
      <c r="B171" s="9" t="s">
        <v>988</v>
      </c>
      <c r="C171" s="9">
        <v>0.17</v>
      </c>
      <c r="E171" s="1946"/>
    </row>
    <row r="172" spans="2:8" x14ac:dyDescent="0.25">
      <c r="B172" s="9" t="s">
        <v>981</v>
      </c>
      <c r="C172" s="9">
        <v>0.54</v>
      </c>
      <c r="E172" s="1946"/>
    </row>
    <row r="173" spans="2:8" x14ac:dyDescent="0.25">
      <c r="B173" s="9"/>
      <c r="C173" s="9"/>
      <c r="D173" s="9"/>
    </row>
    <row r="174" spans="2:8" x14ac:dyDescent="0.25">
      <c r="C174" s="23"/>
    </row>
    <row r="175" spans="2:8" x14ac:dyDescent="0.25">
      <c r="B175" s="4" t="s">
        <v>1362</v>
      </c>
      <c r="C175" s="28"/>
      <c r="D175" s="4"/>
      <c r="E175" s="4"/>
      <c r="F175" s="4"/>
      <c r="G175" s="4"/>
      <c r="H175" s="4"/>
    </row>
    <row r="176" spans="2:8" x14ac:dyDescent="0.25">
      <c r="B176" s="19" t="s">
        <v>978</v>
      </c>
      <c r="C176" s="25" t="s">
        <v>1106</v>
      </c>
      <c r="D176" s="19"/>
      <c r="E176" s="7" t="s">
        <v>198</v>
      </c>
      <c r="F176" s="5"/>
      <c r="G176" s="5"/>
      <c r="H176" s="4"/>
    </row>
    <row r="177" spans="2:8" x14ac:dyDescent="0.25">
      <c r="B177" s="9" t="s">
        <v>984</v>
      </c>
      <c r="C177" s="9">
        <v>0.06</v>
      </c>
      <c r="E177" s="1946" t="s">
        <v>1041</v>
      </c>
    </row>
    <row r="178" spans="2:8" x14ac:dyDescent="0.25">
      <c r="B178" s="9" t="s">
        <v>985</v>
      </c>
      <c r="C178" s="9">
        <v>0.06</v>
      </c>
      <c r="E178" s="1946"/>
    </row>
    <row r="179" spans="2:8" x14ac:dyDescent="0.25">
      <c r="B179" s="9" t="s">
        <v>987</v>
      </c>
      <c r="C179" s="9">
        <v>7.0000000000000007E-2</v>
      </c>
      <c r="E179" s="1946"/>
    </row>
    <row r="180" spans="2:8" x14ac:dyDescent="0.25">
      <c r="B180" s="9" t="s">
        <v>34</v>
      </c>
      <c r="C180" s="9">
        <v>0.15</v>
      </c>
      <c r="E180" s="1946"/>
    </row>
    <row r="181" spans="2:8" x14ac:dyDescent="0.25">
      <c r="B181" s="9" t="s">
        <v>986</v>
      </c>
      <c r="C181" s="9">
        <v>0.08</v>
      </c>
      <c r="E181" s="1946"/>
    </row>
    <row r="182" spans="2:8" x14ac:dyDescent="0.25">
      <c r="B182" s="9" t="s">
        <v>989</v>
      </c>
      <c r="C182" s="9">
        <v>0.04</v>
      </c>
      <c r="E182" s="1946"/>
    </row>
    <row r="183" spans="2:8" x14ac:dyDescent="0.25">
      <c r="B183" s="9" t="s">
        <v>988</v>
      </c>
      <c r="C183" s="9">
        <v>0.01</v>
      </c>
      <c r="E183" s="1946"/>
    </row>
    <row r="184" spans="2:8" x14ac:dyDescent="0.25">
      <c r="B184" s="9" t="s">
        <v>981</v>
      </c>
      <c r="C184" s="9">
        <v>7.0000000000000007E-2</v>
      </c>
      <c r="E184" s="1946"/>
    </row>
    <row r="185" spans="2:8" x14ac:dyDescent="0.25">
      <c r="B185" s="9"/>
      <c r="C185" s="9"/>
      <c r="D185" s="9"/>
    </row>
    <row r="186" spans="2:8" x14ac:dyDescent="0.25">
      <c r="B186" s="9"/>
      <c r="C186" s="9"/>
      <c r="D186" s="9"/>
    </row>
    <row r="187" spans="2:8" x14ac:dyDescent="0.25">
      <c r="B187" s="4" t="s">
        <v>367</v>
      </c>
      <c r="C187" s="19"/>
      <c r="D187" s="19"/>
      <c r="E187" s="4"/>
      <c r="F187" s="4"/>
      <c r="G187" s="4"/>
      <c r="H187" s="4"/>
    </row>
    <row r="188" spans="2:8" x14ac:dyDescent="0.25">
      <c r="B188" s="1" t="s">
        <v>1107</v>
      </c>
      <c r="C188" s="1" t="s">
        <v>1108</v>
      </c>
      <c r="D188" s="1" t="s">
        <v>1109</v>
      </c>
      <c r="E188" s="4"/>
      <c r="F188" s="7" t="s">
        <v>198</v>
      </c>
      <c r="G188" s="4"/>
      <c r="H188" s="4"/>
    </row>
    <row r="189" spans="2:8" x14ac:dyDescent="0.25">
      <c r="B189" s="2" t="s">
        <v>1110</v>
      </c>
      <c r="C189" s="1677">
        <v>0.09</v>
      </c>
      <c r="D189" s="2"/>
      <c r="F189" s="1946" t="s">
        <v>1021</v>
      </c>
    </row>
    <row r="190" spans="2:8" x14ac:dyDescent="0.25">
      <c r="B190" s="2" t="s">
        <v>1111</v>
      </c>
      <c r="C190" s="1677">
        <v>0.23</v>
      </c>
      <c r="D190" s="2"/>
      <c r="F190" s="1946"/>
    </row>
    <row r="191" spans="2:8" x14ac:dyDescent="0.25">
      <c r="B191" s="2" t="s">
        <v>1112</v>
      </c>
      <c r="C191" s="1677">
        <v>0.16</v>
      </c>
      <c r="D191" s="2"/>
      <c r="F191" s="1946"/>
    </row>
    <row r="192" spans="2:8" x14ac:dyDescent="0.25">
      <c r="B192" s="2" t="s">
        <v>1113</v>
      </c>
      <c r="C192" s="2"/>
      <c r="D192" s="1677">
        <v>8.8999999999999999E-3</v>
      </c>
      <c r="F192" s="1946"/>
    </row>
    <row r="193" spans="2:17" x14ac:dyDescent="0.25"/>
    <row r="194" spans="2:17" x14ac:dyDescent="0.25">
      <c r="B194" s="9"/>
      <c r="C194" s="9"/>
      <c r="D194" s="9"/>
      <c r="E194" s="9"/>
      <c r="F194" s="9"/>
      <c r="G194" s="9"/>
      <c r="H194" s="9"/>
      <c r="I194" s="9"/>
      <c r="J194" s="9"/>
      <c r="K194" s="9"/>
      <c r="L194" s="9"/>
      <c r="M194" s="9"/>
      <c r="O194" s="835"/>
      <c r="P194" s="835"/>
      <c r="Q194" s="835"/>
    </row>
    <row r="195" spans="2:17" x14ac:dyDescent="0.25">
      <c r="B195" s="4" t="s">
        <v>1114</v>
      </c>
      <c r="C195" s="4"/>
      <c r="D195" s="4"/>
      <c r="E195" s="4"/>
      <c r="F195" s="4"/>
      <c r="G195" s="4"/>
      <c r="H195" s="4"/>
      <c r="I195" s="4"/>
      <c r="J195" s="9"/>
      <c r="K195" s="9"/>
      <c r="L195" s="9"/>
      <c r="M195" s="9"/>
      <c r="O195" s="835"/>
      <c r="P195" s="835"/>
      <c r="Q195" s="835"/>
    </row>
    <row r="196" spans="2:17" ht="15" customHeight="1" x14ac:dyDescent="0.25">
      <c r="B196" s="19" t="s">
        <v>1115</v>
      </c>
      <c r="C196" s="19" t="s">
        <v>1116</v>
      </c>
      <c r="D196" s="19" t="s">
        <v>1117</v>
      </c>
      <c r="E196" s="19" t="s">
        <v>1118</v>
      </c>
      <c r="F196" s="19" t="s">
        <v>1119</v>
      </c>
      <c r="G196" s="19" t="s">
        <v>1120</v>
      </c>
      <c r="H196" s="4"/>
      <c r="I196" s="7" t="s">
        <v>198</v>
      </c>
      <c r="J196" s="9"/>
      <c r="K196" s="9"/>
      <c r="L196" s="9"/>
      <c r="M196" s="9"/>
      <c r="O196" s="835"/>
      <c r="P196" s="835"/>
      <c r="Q196" s="835"/>
    </row>
    <row r="197" spans="2:17" x14ac:dyDescent="0.25">
      <c r="B197" s="9" t="s">
        <v>567</v>
      </c>
      <c r="C197" s="9">
        <v>334.86200000000002</v>
      </c>
      <c r="D197" s="9">
        <v>2747.72</v>
      </c>
      <c r="E197" s="9">
        <v>2412.8580000000002</v>
      </c>
      <c r="F197" s="9">
        <v>3016.0729999999999</v>
      </c>
      <c r="G197" s="9">
        <v>3.0160729999999998E-3</v>
      </c>
      <c r="I197" s="1946" t="s">
        <v>1352</v>
      </c>
      <c r="J197" s="9"/>
      <c r="K197" s="9"/>
      <c r="L197" s="9"/>
      <c r="M197" s="9"/>
      <c r="O197" s="835"/>
      <c r="P197" s="835"/>
      <c r="Q197" s="835"/>
    </row>
    <row r="198" spans="2:17" x14ac:dyDescent="0.25">
      <c r="B198" s="9" t="s">
        <v>1121</v>
      </c>
      <c r="C198" s="9">
        <v>335.18099999999998</v>
      </c>
      <c r="D198" s="9">
        <v>2772.58</v>
      </c>
      <c r="E198" s="9">
        <v>2437.3989999999999</v>
      </c>
      <c r="F198" s="9">
        <v>3046.7489999999998</v>
      </c>
      <c r="G198" s="9">
        <v>3.0467489999999996E-3</v>
      </c>
      <c r="I198" s="1946"/>
      <c r="J198" s="9"/>
      <c r="K198" s="9"/>
      <c r="L198" s="9"/>
      <c r="M198" s="9"/>
      <c r="O198" s="835"/>
      <c r="P198" s="835"/>
      <c r="Q198" s="835"/>
    </row>
    <row r="199" spans="2:17" x14ac:dyDescent="0.25">
      <c r="B199" s="9" t="s">
        <v>1122</v>
      </c>
      <c r="C199" s="9">
        <v>335.49900000000002</v>
      </c>
      <c r="D199" s="9">
        <v>2785.98</v>
      </c>
      <c r="E199" s="9">
        <v>2450.4810000000002</v>
      </c>
      <c r="F199" s="9">
        <v>3063.1010000000001</v>
      </c>
      <c r="G199" s="9">
        <v>3.0631009999999999E-3</v>
      </c>
      <c r="I199" s="1946"/>
      <c r="J199" s="9"/>
      <c r="K199" s="9"/>
      <c r="L199" s="9"/>
      <c r="M199" s="9"/>
      <c r="O199" s="835"/>
      <c r="P199" s="835"/>
      <c r="Q199" s="835"/>
    </row>
    <row r="200" spans="2:17" x14ac:dyDescent="0.25">
      <c r="B200" s="9" t="s">
        <v>604</v>
      </c>
      <c r="C200" s="9">
        <v>336.13600000000002</v>
      </c>
      <c r="D200" s="9">
        <v>2798.76</v>
      </c>
      <c r="E200" s="9">
        <v>2462.6239999999998</v>
      </c>
      <c r="F200" s="9">
        <v>3078.28</v>
      </c>
      <c r="G200" s="9">
        <v>3.0782800000000001E-3</v>
      </c>
      <c r="I200" s="1946"/>
      <c r="J200" s="9"/>
      <c r="K200" s="9"/>
      <c r="L200" s="9"/>
      <c r="M200" s="9"/>
      <c r="O200" s="835"/>
      <c r="P200" s="835"/>
      <c r="Q200" s="835"/>
    </row>
    <row r="201" spans="2:17" x14ac:dyDescent="0.25">
      <c r="B201" s="9" t="s">
        <v>1123</v>
      </c>
      <c r="C201" s="9">
        <v>336.13600000000002</v>
      </c>
      <c r="D201" s="9">
        <v>2923.96</v>
      </c>
      <c r="E201" s="9">
        <v>2587.8240000000001</v>
      </c>
      <c r="F201" s="9">
        <v>3234.78</v>
      </c>
      <c r="G201" s="9">
        <v>3.23478E-3</v>
      </c>
      <c r="I201" s="1946"/>
      <c r="J201" s="9"/>
      <c r="K201" s="9"/>
      <c r="L201" s="9"/>
      <c r="M201" s="9"/>
      <c r="O201" s="835"/>
      <c r="P201" s="835"/>
      <c r="Q201" s="835"/>
    </row>
    <row r="202" spans="2:17" x14ac:dyDescent="0.25">
      <c r="B202" s="9" t="s">
        <v>1124</v>
      </c>
      <c r="C202" s="9">
        <v>337.72800000000001</v>
      </c>
      <c r="D202" s="9">
        <v>3012.83</v>
      </c>
      <c r="E202" s="9">
        <v>2675.1019999999999</v>
      </c>
      <c r="F202" s="9">
        <v>3343.8780000000002</v>
      </c>
      <c r="G202" s="9">
        <v>3.3438780000000002E-3</v>
      </c>
      <c r="I202" s="1946"/>
      <c r="J202" s="9"/>
      <c r="K202" s="9"/>
      <c r="L202" s="9"/>
      <c r="M202" s="9"/>
      <c r="O202" s="835"/>
      <c r="P202" s="835"/>
      <c r="Q202" s="835"/>
    </row>
    <row r="203" spans="2:17" x14ac:dyDescent="0.25">
      <c r="B203" s="9" t="s">
        <v>1125</v>
      </c>
      <c r="C203" s="9">
        <v>338.524</v>
      </c>
      <c r="D203" s="9">
        <v>3052.82</v>
      </c>
      <c r="E203" s="9">
        <v>2714.2959999999998</v>
      </c>
      <c r="F203" s="9">
        <v>3392.87</v>
      </c>
      <c r="G203" s="9">
        <v>3.3928700000000001E-3</v>
      </c>
      <c r="I203" s="1946"/>
      <c r="J203" s="9"/>
      <c r="K203" s="9"/>
      <c r="L203" s="9"/>
      <c r="M203" s="9"/>
      <c r="O203" s="835"/>
      <c r="P203" s="835"/>
      <c r="Q203" s="835"/>
    </row>
    <row r="204" spans="2:17" x14ac:dyDescent="0.25">
      <c r="B204" s="9" t="s">
        <v>1126</v>
      </c>
      <c r="C204" s="9">
        <v>344.09800000000001</v>
      </c>
      <c r="D204" s="9">
        <v>3348.19</v>
      </c>
      <c r="E204" s="9">
        <v>3004.0920000000001</v>
      </c>
      <c r="F204" s="9">
        <v>3755.1149999999998</v>
      </c>
      <c r="G204" s="9">
        <v>3.7551149999999998E-3</v>
      </c>
      <c r="I204" s="1946"/>
      <c r="J204" s="9"/>
      <c r="K204" s="9"/>
      <c r="L204" s="9"/>
      <c r="M204" s="9"/>
      <c r="O204" s="835"/>
      <c r="P204" s="835"/>
      <c r="Q204" s="835"/>
    </row>
    <row r="205" spans="2:17" x14ac:dyDescent="0.25">
      <c r="B205" s="9"/>
      <c r="C205" s="9"/>
      <c r="D205" s="9"/>
      <c r="E205" s="9"/>
      <c r="F205" s="9"/>
      <c r="G205" s="9"/>
      <c r="H205" s="9"/>
      <c r="I205" s="9"/>
      <c r="J205" s="9"/>
      <c r="K205" s="9"/>
      <c r="L205" s="9"/>
      <c r="M205" s="9"/>
      <c r="O205" s="835"/>
      <c r="P205" s="835"/>
      <c r="Q205" s="835"/>
    </row>
    <row r="206" spans="2:17" x14ac:dyDescent="0.25">
      <c r="B206" s="9"/>
      <c r="C206" s="9"/>
      <c r="D206" s="9"/>
      <c r="E206" s="9"/>
      <c r="F206" s="9"/>
      <c r="G206" s="9"/>
      <c r="H206" s="9"/>
      <c r="I206" s="9"/>
      <c r="J206" s="9"/>
      <c r="K206" s="9"/>
      <c r="L206" s="9"/>
      <c r="M206" s="9"/>
      <c r="O206" s="835"/>
      <c r="P206" s="835"/>
      <c r="Q206" s="835"/>
    </row>
    <row r="207" spans="2:17" x14ac:dyDescent="0.25">
      <c r="B207" s="4" t="s">
        <v>1127</v>
      </c>
      <c r="C207" s="1952" t="s">
        <v>1128</v>
      </c>
      <c r="D207" s="1952"/>
      <c r="E207" s="4"/>
      <c r="F207" s="9"/>
      <c r="G207" s="9"/>
      <c r="H207" s="9"/>
      <c r="I207" s="9"/>
      <c r="J207" s="9"/>
      <c r="K207" s="9"/>
      <c r="L207" s="9"/>
      <c r="M207" s="9"/>
      <c r="O207" s="835"/>
      <c r="P207" s="835"/>
      <c r="Q207" s="835"/>
    </row>
    <row r="208" spans="2:17" x14ac:dyDescent="0.25">
      <c r="B208" s="19" t="s">
        <v>1129</v>
      </c>
      <c r="C208" s="19" t="s">
        <v>1130</v>
      </c>
      <c r="D208" s="19" t="s">
        <v>1131</v>
      </c>
      <c r="E208" s="7" t="s">
        <v>198</v>
      </c>
      <c r="F208" s="9"/>
      <c r="G208" s="9"/>
      <c r="H208" s="9"/>
      <c r="I208" s="9"/>
      <c r="J208" s="9"/>
      <c r="K208" s="9"/>
      <c r="L208" s="9"/>
      <c r="N208" s="835"/>
      <c r="O208" s="835"/>
      <c r="P208" s="835"/>
    </row>
    <row r="209" spans="2:16" ht="15" customHeight="1" x14ac:dyDescent="0.25">
      <c r="B209" s="9" t="s">
        <v>1132</v>
      </c>
      <c r="C209" s="9">
        <f>G72</f>
        <v>51.53</v>
      </c>
      <c r="D209" s="9" t="s">
        <v>1133</v>
      </c>
      <c r="E209" s="1945" t="s">
        <v>1347</v>
      </c>
      <c r="F209" s="9"/>
      <c r="G209" s="9"/>
      <c r="H209" s="9"/>
      <c r="I209" s="9"/>
      <c r="J209" s="9"/>
      <c r="K209" s="9"/>
      <c r="L209" s="9"/>
      <c r="N209" s="835"/>
      <c r="O209" s="835"/>
      <c r="P209" s="835"/>
    </row>
    <row r="210" spans="2:16" x14ac:dyDescent="0.25">
      <c r="B210" s="9" t="s">
        <v>1134</v>
      </c>
      <c r="C210" s="9">
        <f>IFERROR(VLOOKUP(B210,SolidFuel[#All],6,FALSE),IFERROR(VLOOKUP(B210,LQDF[#All],6,FALSE),IFERROR(VLOOKUP(B210,GasFuel[#All],6,FALSE),0)))</f>
        <v>90.240000000000009</v>
      </c>
      <c r="D210" s="9">
        <f>IFERROR(VLOOKUP(B210,SolidFuelEmbodiedEmissions[#All],2,FALSE),IFERROR(VLOOKUP(B210,Table17[#All],2,FALSE),0))</f>
        <v>3</v>
      </c>
      <c r="E210" s="1945"/>
      <c r="F210" s="9"/>
      <c r="G210" s="9"/>
      <c r="H210" s="9"/>
      <c r="I210" s="9"/>
      <c r="J210" s="9"/>
      <c r="K210" s="9"/>
      <c r="L210" s="9"/>
      <c r="N210" s="835"/>
      <c r="O210" s="835"/>
      <c r="P210" s="835"/>
    </row>
    <row r="211" spans="2:16" x14ac:dyDescent="0.25">
      <c r="B211" s="9" t="s">
        <v>1022</v>
      </c>
      <c r="C211" s="9">
        <f>IFERROR(VLOOKUP(B211,SolidFuel[#All],6,FALSE),IFERROR(VLOOKUP(B211,LQDF[#All],6,FALSE),IFERROR(VLOOKUP(B211,GasFuel[#All],6,FALSE),0)))</f>
        <v>90.240000000000009</v>
      </c>
      <c r="D211" s="9">
        <f>IFERROR(VLOOKUP(B211,SolidFuelEmbodiedEmissions[#All],2,FALSE),IFERROR(VLOOKUP(B211,Table17[#All],2,FALSE),0))</f>
        <v>2.5</v>
      </c>
      <c r="E211" s="1945"/>
      <c r="F211" s="9"/>
      <c r="G211" s="9"/>
      <c r="H211" s="9"/>
      <c r="I211" s="9"/>
      <c r="J211" s="9"/>
      <c r="K211" s="9"/>
      <c r="L211" s="9"/>
      <c r="N211" s="835"/>
      <c r="O211" s="835"/>
      <c r="P211" s="835"/>
    </row>
    <row r="212" spans="2:16" x14ac:dyDescent="0.25">
      <c r="B212" s="9" t="s">
        <v>1023</v>
      </c>
      <c r="C212" s="9">
        <f>IFERROR(VLOOKUP(B212,SolidFuel[#All],6,FALSE),IFERROR(VLOOKUP(B212,LQDF[#All],6,FALSE),IFERROR(VLOOKUP(B212,GasFuel[#All],6,FALSE),0)))</f>
        <v>90.240000000000009</v>
      </c>
      <c r="D212" s="9">
        <f>IFERROR(VLOOKUP(B212,SolidFuelEmbodiedEmissions[#All],2,FALSE),IFERROR(VLOOKUP(B212,Table17[#All],2,FALSE),0))</f>
        <v>0</v>
      </c>
      <c r="E212" s="1945"/>
      <c r="F212" s="9"/>
      <c r="G212" s="9"/>
      <c r="H212" s="9"/>
      <c r="I212" s="9"/>
      <c r="J212" s="9"/>
      <c r="K212" s="9"/>
      <c r="L212" s="9"/>
      <c r="N212" s="835"/>
      <c r="O212" s="835"/>
      <c r="P212" s="835"/>
    </row>
    <row r="213" spans="2:16" x14ac:dyDescent="0.25">
      <c r="B213" s="9" t="s">
        <v>1024</v>
      </c>
      <c r="C213" s="9">
        <f>IFERROR(VLOOKUP(B213,SolidFuel[#All],6,FALSE),IFERROR(VLOOKUP(B213,LQDF[#All],6,FALSE),IFERROR(VLOOKUP(B213,GasFuel[#All],6,FALSE),0)))</f>
        <v>93.82</v>
      </c>
      <c r="D213" s="9">
        <f>IFERROR(VLOOKUP(B213,SolidFuelEmbodiedEmissions[#All],2,FALSE),IFERROR(VLOOKUP(B213,Table17[#All],2,FALSE),0))</f>
        <v>0.4</v>
      </c>
      <c r="E213" s="1945"/>
      <c r="F213" s="9"/>
      <c r="G213" s="9"/>
      <c r="H213" s="9"/>
      <c r="I213" s="9"/>
      <c r="J213" s="9"/>
      <c r="K213" s="9"/>
      <c r="L213" s="9"/>
      <c r="N213" s="835"/>
      <c r="O213" s="835"/>
      <c r="P213" s="835"/>
    </row>
    <row r="214" spans="2:16" x14ac:dyDescent="0.25">
      <c r="B214" s="9" t="s">
        <v>1032</v>
      </c>
      <c r="C214" s="9">
        <f>IFERROR(VLOOKUP(B214,SolidFuel[#All],6,FALSE),IFERROR(VLOOKUP(B214,LQDF[#All],6,FALSE),IFERROR(VLOOKUP(B214,GasFuel[#All],6,FALSE),0)))</f>
        <v>1.2000000000000002</v>
      </c>
      <c r="D214" s="9">
        <f>IFERROR(VLOOKUP(B214,SolidFuelEmbodiedEmissions[#All],2,FALSE),IFERROR(VLOOKUP(B214,Table17[#All],2,FALSE),0))</f>
        <v>0</v>
      </c>
      <c r="E214" s="1945"/>
      <c r="F214" s="9"/>
      <c r="G214" s="9"/>
      <c r="H214" s="9"/>
      <c r="I214" s="9"/>
      <c r="J214" s="9"/>
      <c r="K214" s="9"/>
      <c r="L214" s="9"/>
      <c r="N214" s="835"/>
      <c r="O214" s="835"/>
      <c r="P214" s="835"/>
    </row>
    <row r="215" spans="2:16" x14ac:dyDescent="0.25">
      <c r="B215" s="9" t="s">
        <v>1135</v>
      </c>
      <c r="C215" s="9">
        <f>G53</f>
        <v>1.2000000000000002</v>
      </c>
      <c r="D215" s="9">
        <f>IFERROR(VLOOKUP(B215,SolidFuelEmbodiedEmissions[#All],2,FALSE),IFERROR(VLOOKUP(B215,Table17[#All],2,FALSE),0))</f>
        <v>0</v>
      </c>
      <c r="E215" s="1945"/>
      <c r="F215" s="9"/>
      <c r="G215" s="9"/>
      <c r="H215" s="9"/>
      <c r="I215" s="9"/>
      <c r="J215" s="9"/>
      <c r="K215" s="9"/>
      <c r="L215" s="9"/>
      <c r="N215" s="835"/>
      <c r="O215" s="835"/>
      <c r="P215" s="835"/>
    </row>
    <row r="216" spans="2:16" x14ac:dyDescent="0.25">
      <c r="B216" s="9" t="s">
        <v>1035</v>
      </c>
      <c r="C216" s="9">
        <f>IFERROR(VLOOKUP(B216,SolidFuel[#All],6,FALSE),IFERROR(VLOOKUP(B216,LQDF[#All],6,FALSE),IFERROR(VLOOKUP(B216,GasFuel[#All],6,FALSE),0)))</f>
        <v>1.4000000000000001</v>
      </c>
      <c r="D216" s="9">
        <f>IFERROR(VLOOKUP(B216,SolidFuelEmbodiedEmissions[#All],2,FALSE),IFERROR(VLOOKUP(B216,Table17[#All],2,FALSE),0))</f>
        <v>0</v>
      </c>
      <c r="E216" s="1945"/>
      <c r="F216" s="9"/>
      <c r="G216" s="9"/>
      <c r="H216" s="9"/>
      <c r="I216" s="9"/>
      <c r="J216" s="9"/>
      <c r="K216" s="9"/>
      <c r="L216" s="9"/>
      <c r="N216" s="835"/>
      <c r="O216" s="835"/>
      <c r="P216" s="835"/>
    </row>
    <row r="217" spans="2:16" x14ac:dyDescent="0.25">
      <c r="B217" s="9" t="s">
        <v>1136</v>
      </c>
      <c r="C217" s="9">
        <f>G56</f>
        <v>1.8</v>
      </c>
      <c r="D217" s="9">
        <f>IFERROR(VLOOKUP(B217,SolidFuelEmbodiedEmissions[#All],2,FALSE),IFERROR(VLOOKUP(B217,Table17[#All],2,FALSE),0))</f>
        <v>0</v>
      </c>
      <c r="E217" s="1945"/>
    </row>
    <row r="218" spans="2:16" x14ac:dyDescent="0.25">
      <c r="B218" s="9"/>
      <c r="C218" s="9"/>
      <c r="D218" s="9"/>
      <c r="E218" s="9"/>
      <c r="F218" s="9"/>
    </row>
    <row r="219" spans="2:16" x14ac:dyDescent="0.25">
      <c r="B219" s="4" t="s">
        <v>1137</v>
      </c>
      <c r="C219" s="19"/>
      <c r="D219" s="19"/>
      <c r="E219" s="4"/>
      <c r="F219" s="9"/>
    </row>
    <row r="220" spans="2:16" x14ac:dyDescent="0.25">
      <c r="B220" s="19" t="s">
        <v>1138</v>
      </c>
      <c r="C220" s="19" t="s">
        <v>1139</v>
      </c>
      <c r="D220" s="19"/>
      <c r="E220" s="7" t="s">
        <v>198</v>
      </c>
      <c r="F220" s="9"/>
    </row>
    <row r="221" spans="2:16" x14ac:dyDescent="0.25">
      <c r="B221" s="9" t="s">
        <v>1140</v>
      </c>
      <c r="C221" s="9">
        <v>23500</v>
      </c>
      <c r="D221" s="9"/>
      <c r="E221" s="1946" t="s">
        <v>1141</v>
      </c>
      <c r="F221" s="9"/>
    </row>
    <row r="222" spans="2:16" x14ac:dyDescent="0.25">
      <c r="B222" s="9" t="s">
        <v>1142</v>
      </c>
      <c r="C222" s="9">
        <v>12400</v>
      </c>
      <c r="D222" s="9"/>
      <c r="E222" s="1946"/>
      <c r="F222" s="9"/>
    </row>
    <row r="223" spans="2:16" x14ac:dyDescent="0.25">
      <c r="B223" s="9" t="s">
        <v>1143</v>
      </c>
      <c r="C223" s="9">
        <v>677</v>
      </c>
      <c r="D223" s="9"/>
      <c r="E223" s="1946"/>
      <c r="F223" s="9"/>
    </row>
    <row r="224" spans="2:16" x14ac:dyDescent="0.25">
      <c r="B224" s="9" t="s">
        <v>1144</v>
      </c>
      <c r="C224" s="9">
        <v>116</v>
      </c>
      <c r="D224" s="9"/>
      <c r="E224" s="1946"/>
      <c r="F224" s="9"/>
    </row>
    <row r="225" spans="2:9" x14ac:dyDescent="0.25">
      <c r="B225" s="9" t="s">
        <v>1145</v>
      </c>
      <c r="C225" s="9">
        <v>1650</v>
      </c>
      <c r="D225" s="9"/>
      <c r="E225" s="1946"/>
      <c r="F225" s="9"/>
    </row>
    <row r="226" spans="2:9" x14ac:dyDescent="0.25">
      <c r="B226" s="9" t="s">
        <v>1146</v>
      </c>
      <c r="C226" s="9">
        <v>3170</v>
      </c>
      <c r="D226" s="9"/>
      <c r="E226" s="1946"/>
    </row>
    <row r="227" spans="2:9" s="9" customFormat="1" x14ac:dyDescent="0.25">
      <c r="B227" s="9" t="s">
        <v>1147</v>
      </c>
      <c r="C227" s="15">
        <v>1120</v>
      </c>
      <c r="D227" s="3"/>
      <c r="E227" s="1946"/>
      <c r="F227" s="3"/>
      <c r="G227" s="3"/>
      <c r="H227" s="3"/>
    </row>
    <row r="228" spans="2:9" s="9" customFormat="1" x14ac:dyDescent="0.25">
      <c r="B228" s="9" t="s">
        <v>1148</v>
      </c>
      <c r="C228" s="15">
        <v>1300</v>
      </c>
      <c r="D228" s="3"/>
      <c r="E228" s="1946"/>
      <c r="F228" s="3"/>
      <c r="G228" s="3"/>
      <c r="H228" s="3"/>
    </row>
    <row r="229" spans="2:9" x14ac:dyDescent="0.25">
      <c r="B229" s="9" t="s">
        <v>1149</v>
      </c>
      <c r="C229" s="15">
        <v>328</v>
      </c>
      <c r="E229" s="1946"/>
    </row>
    <row r="230" spans="2:9" x14ac:dyDescent="0.25">
      <c r="B230" s="9" t="s">
        <v>1150</v>
      </c>
      <c r="C230" s="15">
        <v>4800</v>
      </c>
      <c r="E230" s="1946"/>
    </row>
    <row r="231" spans="2:9" x14ac:dyDescent="0.25">
      <c r="B231" s="9" t="s">
        <v>1151</v>
      </c>
      <c r="C231" s="15">
        <v>138</v>
      </c>
      <c r="D231" s="9"/>
      <c r="E231" s="1946"/>
      <c r="F231" s="9"/>
      <c r="G231" s="9"/>
      <c r="H231" s="9"/>
    </row>
    <row r="232" spans="2:9" x14ac:dyDescent="0.25">
      <c r="B232" s="9" t="s">
        <v>1152</v>
      </c>
      <c r="C232" s="15">
        <v>3350</v>
      </c>
      <c r="D232" s="9"/>
      <c r="E232" s="1946"/>
      <c r="F232" s="9"/>
      <c r="G232" s="9"/>
      <c r="H232" s="9"/>
    </row>
    <row r="233" spans="2:9" x14ac:dyDescent="0.25">
      <c r="B233" s="9" t="s">
        <v>1153</v>
      </c>
      <c r="C233" s="9">
        <v>8060</v>
      </c>
      <c r="E233" s="1946"/>
    </row>
    <row r="234" spans="2:9" x14ac:dyDescent="0.25">
      <c r="B234" s="9" t="s">
        <v>1154</v>
      </c>
      <c r="C234" s="9">
        <v>716</v>
      </c>
      <c r="E234" s="1946"/>
    </row>
    <row r="235" spans="2:9" x14ac:dyDescent="0.25">
      <c r="B235" s="9"/>
      <c r="C235" s="9"/>
    </row>
    <row r="236" spans="2:9" x14ac:dyDescent="0.25">
      <c r="B236" s="4" t="s">
        <v>1155</v>
      </c>
      <c r="C236" s="19"/>
      <c r="D236" s="5"/>
      <c r="E236" s="5"/>
      <c r="F236" s="5"/>
      <c r="G236" s="5"/>
      <c r="H236" s="5"/>
      <c r="I236" s="5"/>
    </row>
    <row r="237" spans="2:9" x14ac:dyDescent="0.25">
      <c r="B237" s="19" t="s">
        <v>542</v>
      </c>
      <c r="C237" s="19" t="s">
        <v>729</v>
      </c>
      <c r="D237" s="19" t="s">
        <v>980</v>
      </c>
      <c r="E237" s="5"/>
      <c r="F237" s="7" t="s">
        <v>198</v>
      </c>
      <c r="G237" s="5"/>
      <c r="H237" s="5"/>
      <c r="I237" s="5"/>
    </row>
    <row r="238" spans="2:9" x14ac:dyDescent="0.25">
      <c r="B238" s="9" t="s">
        <v>618</v>
      </c>
      <c r="C238" s="9">
        <v>0.245</v>
      </c>
      <c r="D238" s="9" t="s">
        <v>1156</v>
      </c>
      <c r="F238" s="197" t="s">
        <v>1157</v>
      </c>
    </row>
    <row r="239" spans="2:9" x14ac:dyDescent="0.25">
      <c r="B239" s="9"/>
      <c r="C239" s="9">
        <v>5.875</v>
      </c>
      <c r="D239" s="9" t="s">
        <v>1158</v>
      </c>
      <c r="F239" s="197" t="s">
        <v>1351</v>
      </c>
    </row>
    <row r="240" spans="2:9" x14ac:dyDescent="0.25">
      <c r="B240" s="9" t="s">
        <v>619</v>
      </c>
      <c r="C240" s="9">
        <v>17.350000000000001</v>
      </c>
      <c r="D240" s="9" t="s">
        <v>1159</v>
      </c>
      <c r="F240" s="197" t="s">
        <v>1160</v>
      </c>
    </row>
    <row r="241" spans="2:11" x14ac:dyDescent="0.25">
      <c r="B241" s="9" t="s">
        <v>620</v>
      </c>
      <c r="C241" s="9">
        <v>0.30380000000000001</v>
      </c>
      <c r="D241" s="9" t="s">
        <v>1161</v>
      </c>
      <c r="F241" s="197" t="s">
        <v>1162</v>
      </c>
    </row>
    <row r="242" spans="2:11" hidden="1" x14ac:dyDescent="0.25">
      <c r="B242" s="9"/>
      <c r="C242" s="9">
        <v>0.83184789067142006</v>
      </c>
      <c r="D242" s="9" t="s">
        <v>1163</v>
      </c>
      <c r="F242" s="197"/>
    </row>
    <row r="243" spans="2:11" hidden="1" x14ac:dyDescent="0.25">
      <c r="B243" s="9"/>
      <c r="C243" s="9">
        <v>0.82599999999999996</v>
      </c>
      <c r="D243" s="9" t="s">
        <v>1164</v>
      </c>
      <c r="F243" s="197"/>
    </row>
    <row r="244" spans="2:11" x14ac:dyDescent="0.25">
      <c r="B244" s="9"/>
      <c r="C244" s="9"/>
    </row>
    <row r="245" spans="2:11" x14ac:dyDescent="0.25">
      <c r="B245" s="4" t="s">
        <v>1165</v>
      </c>
      <c r="C245" s="19"/>
      <c r="D245" s="5"/>
      <c r="E245" s="5"/>
      <c r="F245" s="5"/>
      <c r="G245" s="5"/>
      <c r="H245" s="5"/>
    </row>
    <row r="246" spans="2:11" x14ac:dyDescent="0.25">
      <c r="B246" s="19" t="s">
        <v>542</v>
      </c>
      <c r="C246" s="19" t="s">
        <v>1166</v>
      </c>
      <c r="D246" s="5"/>
      <c r="E246" s="5"/>
      <c r="F246" s="5"/>
      <c r="G246" s="5"/>
      <c r="H246" s="5"/>
    </row>
    <row r="247" spans="2:11" x14ac:dyDescent="0.25">
      <c r="B247" s="9" t="s">
        <v>620</v>
      </c>
      <c r="C247" s="32">
        <v>0.76900000000000002</v>
      </c>
    </row>
    <row r="248" spans="2:11" x14ac:dyDescent="0.25">
      <c r="B248" s="9" t="s">
        <v>619</v>
      </c>
      <c r="C248" s="32">
        <v>8.9999999999999993E-3</v>
      </c>
    </row>
    <row r="249" spans="2:11" x14ac:dyDescent="0.25">
      <c r="B249" s="9" t="s">
        <v>618</v>
      </c>
      <c r="C249" s="32">
        <v>0.222</v>
      </c>
    </row>
    <row r="250" spans="2:11" x14ac:dyDescent="0.25">
      <c r="B250" s="9"/>
      <c r="C250" s="9"/>
    </row>
    <row r="251" spans="2:11" x14ac:dyDescent="0.25">
      <c r="B251" s="4" t="s">
        <v>1167</v>
      </c>
      <c r="C251" s="19"/>
      <c r="D251" s="5"/>
      <c r="E251" s="5"/>
      <c r="F251" s="5"/>
      <c r="G251" s="5"/>
      <c r="H251" s="5"/>
      <c r="I251" s="5"/>
      <c r="J251" s="5"/>
      <c r="K251" s="5"/>
    </row>
    <row r="252" spans="2:11" x14ac:dyDescent="0.25">
      <c r="B252" s="4"/>
      <c r="C252" s="19"/>
      <c r="D252" s="1948" t="s">
        <v>548</v>
      </c>
      <c r="E252" s="1948"/>
      <c r="F252" s="1948" t="s">
        <v>550</v>
      </c>
      <c r="G252" s="1948"/>
      <c r="H252" s="1948" t="s">
        <v>1168</v>
      </c>
      <c r="I252" s="1948"/>
      <c r="J252" s="5"/>
      <c r="K252" s="5"/>
    </row>
    <row r="253" spans="2:11" x14ac:dyDescent="0.25">
      <c r="B253" s="19" t="s">
        <v>1169</v>
      </c>
      <c r="C253" s="19" t="s">
        <v>1170</v>
      </c>
      <c r="D253" s="19" t="s">
        <v>1171</v>
      </c>
      <c r="E253" s="19" t="s">
        <v>1172</v>
      </c>
      <c r="F253" s="19" t="s">
        <v>1173</v>
      </c>
      <c r="G253" s="19" t="s">
        <v>1174</v>
      </c>
      <c r="H253" s="19" t="s">
        <v>1175</v>
      </c>
      <c r="I253" s="19" t="s">
        <v>1176</v>
      </c>
      <c r="J253" s="19"/>
      <c r="K253" s="19" t="s">
        <v>198</v>
      </c>
    </row>
    <row r="254" spans="2:11" x14ac:dyDescent="0.25">
      <c r="B254" s="9" t="s">
        <v>533</v>
      </c>
      <c r="C254" s="9">
        <v>20.624770817668701</v>
      </c>
      <c r="D254" s="9">
        <v>0.15694612195743199</v>
      </c>
      <c r="E254" s="9">
        <v>44.01</v>
      </c>
      <c r="F254" s="9">
        <v>1.3150352529964701E-4</v>
      </c>
      <c r="G254" s="9">
        <v>16.042999999999999</v>
      </c>
      <c r="H254" s="9">
        <v>0</v>
      </c>
      <c r="I254" s="9">
        <v>44.012500000000003</v>
      </c>
      <c r="K254" s="1946" t="s">
        <v>1007</v>
      </c>
    </row>
    <row r="255" spans="2:11" x14ac:dyDescent="0.25">
      <c r="B255" s="9" t="s">
        <v>1177</v>
      </c>
      <c r="C255" s="9">
        <v>10.057689820019799</v>
      </c>
      <c r="D255" s="9">
        <v>0.42198866817925601</v>
      </c>
      <c r="E255" s="9">
        <v>44.01</v>
      </c>
      <c r="F255" s="9">
        <v>3.1553672082471999E-5</v>
      </c>
      <c r="G255" s="9">
        <v>16.042999999999999</v>
      </c>
      <c r="H255" s="9">
        <v>0</v>
      </c>
      <c r="I255" s="9">
        <v>44.012500000000003</v>
      </c>
      <c r="K255" s="1946"/>
    </row>
    <row r="256" spans="2:11" x14ac:dyDescent="0.25">
      <c r="B256" s="9" t="s">
        <v>1178</v>
      </c>
      <c r="C256" s="9">
        <v>14.8548360009797</v>
      </c>
      <c r="D256" s="9">
        <v>0.60632545809084104</v>
      </c>
      <c r="E256" s="9">
        <v>44.01</v>
      </c>
      <c r="F256" s="9">
        <v>7.1337022759217301E-6</v>
      </c>
      <c r="G256" s="9">
        <v>16.042999999999999</v>
      </c>
      <c r="H256" s="9">
        <v>0</v>
      </c>
      <c r="I256" s="9">
        <v>44.012500000000003</v>
      </c>
      <c r="K256" s="1946"/>
    </row>
    <row r="257" spans="2:11" x14ac:dyDescent="0.25">
      <c r="B257" s="9" t="s">
        <v>589</v>
      </c>
      <c r="C257" s="9">
        <v>15.868119999999999</v>
      </c>
      <c r="D257" s="9">
        <v>0.98710033543940501</v>
      </c>
      <c r="E257" s="9">
        <v>44.01</v>
      </c>
      <c r="F257" s="9">
        <v>0</v>
      </c>
      <c r="G257" s="9">
        <v>16.042999999999999</v>
      </c>
      <c r="H257" s="9">
        <v>0</v>
      </c>
      <c r="I257" s="9">
        <v>44.012500000000003</v>
      </c>
      <c r="K257" s="1946"/>
    </row>
    <row r="258" spans="2:11" x14ac:dyDescent="0.25">
      <c r="B258" s="9" t="s">
        <v>590</v>
      </c>
      <c r="C258" s="9">
        <v>0.82657111924524407</v>
      </c>
      <c r="D258" s="9">
        <v>0.99922766712858402</v>
      </c>
      <c r="E258" s="9">
        <v>44.01</v>
      </c>
      <c r="F258" s="9">
        <v>0</v>
      </c>
      <c r="G258" s="9">
        <v>16.042999999999999</v>
      </c>
      <c r="H258" s="9">
        <v>0</v>
      </c>
      <c r="I258" s="9">
        <v>44.012500000000003</v>
      </c>
      <c r="K258" s="1946"/>
    </row>
    <row r="259" spans="2:11" x14ac:dyDescent="0.25">
      <c r="B259" s="9" t="s">
        <v>591</v>
      </c>
      <c r="C259" s="9">
        <v>2.128440779720937</v>
      </c>
      <c r="D259" s="9">
        <v>5.2267408062247299E-2</v>
      </c>
      <c r="E259" s="9">
        <v>44.01</v>
      </c>
      <c r="F259" s="9">
        <v>8.6473472519867404E-7</v>
      </c>
      <c r="G259" s="9">
        <v>16.042999999999999</v>
      </c>
      <c r="H259" s="9">
        <v>0</v>
      </c>
      <c r="I259" s="9">
        <v>44.012500000000003</v>
      </c>
      <c r="K259" s="1946"/>
    </row>
    <row r="260" spans="2:11" x14ac:dyDescent="0.25">
      <c r="B260" s="9"/>
      <c r="C260" s="9"/>
    </row>
    <row r="261" spans="2:11" x14ac:dyDescent="0.25">
      <c r="B261" s="9"/>
      <c r="C261" s="9"/>
    </row>
    <row r="262" spans="2:11" x14ac:dyDescent="0.25">
      <c r="B262" s="4" t="s">
        <v>1179</v>
      </c>
      <c r="C262" s="19"/>
      <c r="D262" s="19"/>
      <c r="E262" s="19"/>
    </row>
    <row r="263" spans="2:11" x14ac:dyDescent="0.25">
      <c r="B263" s="4" t="s">
        <v>542</v>
      </c>
      <c r="C263" s="19" t="s">
        <v>300</v>
      </c>
      <c r="D263" s="19"/>
      <c r="E263" s="7" t="s">
        <v>198</v>
      </c>
    </row>
    <row r="264" spans="2:11" x14ac:dyDescent="0.25">
      <c r="B264" s="9" t="s">
        <v>548</v>
      </c>
      <c r="C264" s="9">
        <v>1</v>
      </c>
      <c r="E264" s="1945" t="s">
        <v>1141</v>
      </c>
    </row>
    <row r="265" spans="2:11" x14ac:dyDescent="0.25">
      <c r="B265" s="9" t="s">
        <v>550</v>
      </c>
      <c r="C265" s="9">
        <v>28</v>
      </c>
      <c r="E265" s="1945"/>
    </row>
    <row r="266" spans="2:11" x14ac:dyDescent="0.25">
      <c r="B266" s="9" t="s">
        <v>552</v>
      </c>
      <c r="C266" s="9">
        <v>265</v>
      </c>
      <c r="E266" s="1945"/>
    </row>
    <row r="267" spans="2:11" x14ac:dyDescent="0.25">
      <c r="B267" s="9"/>
      <c r="C267" s="9"/>
    </row>
    <row r="268" spans="2:11" x14ac:dyDescent="0.25">
      <c r="B268" s="9"/>
      <c r="C268" s="9"/>
    </row>
    <row r="269" spans="2:11" x14ac:dyDescent="0.25">
      <c r="B269" s="4" t="s">
        <v>1180</v>
      </c>
      <c r="C269" s="11"/>
      <c r="D269" s="5"/>
      <c r="E269" s="5"/>
      <c r="F269" s="5"/>
      <c r="G269" s="5"/>
      <c r="H269" s="5"/>
    </row>
    <row r="270" spans="2:11" x14ac:dyDescent="0.25">
      <c r="B270" s="19" t="s">
        <v>1169</v>
      </c>
      <c r="C270" s="19" t="s">
        <v>1181</v>
      </c>
      <c r="D270" s="19" t="s">
        <v>1182</v>
      </c>
      <c r="E270" s="19" t="s">
        <v>1183</v>
      </c>
      <c r="F270" s="5"/>
      <c r="G270" s="19" t="s">
        <v>198</v>
      </c>
      <c r="H270" s="5"/>
    </row>
    <row r="271" spans="2:11" x14ac:dyDescent="0.25">
      <c r="B271" s="9" t="s">
        <v>533</v>
      </c>
      <c r="C271" s="9">
        <v>0</v>
      </c>
      <c r="D271" s="9">
        <v>0</v>
      </c>
      <c r="E271" s="9">
        <v>0</v>
      </c>
      <c r="G271" s="1946" t="s">
        <v>1007</v>
      </c>
    </row>
    <row r="272" spans="2:11" x14ac:dyDescent="0.25">
      <c r="B272" s="9" t="s">
        <v>1177</v>
      </c>
      <c r="C272" s="9">
        <v>0.51742299999999997</v>
      </c>
      <c r="D272" s="9">
        <v>19.6148132710995</v>
      </c>
      <c r="E272" s="9">
        <v>11.534889040727601</v>
      </c>
      <c r="G272" s="1946"/>
    </row>
    <row r="273" spans="2:8" x14ac:dyDescent="0.25">
      <c r="B273" s="9" t="s">
        <v>1178</v>
      </c>
      <c r="C273" s="9">
        <v>0.66426600000000002</v>
      </c>
      <c r="D273" s="9">
        <v>30.06</v>
      </c>
      <c r="E273" s="9">
        <v>17.029754193077501</v>
      </c>
      <c r="G273" s="1946"/>
    </row>
    <row r="274" spans="2:8" x14ac:dyDescent="0.25">
      <c r="B274" s="9" t="s">
        <v>589</v>
      </c>
      <c r="C274" s="9">
        <v>0</v>
      </c>
      <c r="D274" s="9">
        <v>0</v>
      </c>
      <c r="E274" s="9">
        <v>0</v>
      </c>
      <c r="G274" s="1946"/>
    </row>
    <row r="275" spans="2:8" x14ac:dyDescent="0.25">
      <c r="B275" s="9" t="s">
        <v>590</v>
      </c>
      <c r="C275" s="9">
        <v>0</v>
      </c>
      <c r="D275" s="9">
        <v>0</v>
      </c>
      <c r="E275" s="9">
        <v>0</v>
      </c>
      <c r="G275" s="1946"/>
    </row>
    <row r="276" spans="2:8" x14ac:dyDescent="0.25">
      <c r="B276" s="9" t="s">
        <v>591</v>
      </c>
      <c r="C276" s="9">
        <v>0.61921558066350957</v>
      </c>
      <c r="D276" s="9">
        <v>0.14684787626342799</v>
      </c>
      <c r="E276" s="9">
        <v>0.21563532052918799</v>
      </c>
      <c r="G276" s="1946"/>
    </row>
    <row r="277" spans="2:8" x14ac:dyDescent="0.25">
      <c r="B277" s="9"/>
      <c r="C277" s="9"/>
      <c r="D277" s="9"/>
      <c r="E277" s="9"/>
      <c r="G277" s="937"/>
    </row>
    <row r="278" spans="2:8" x14ac:dyDescent="0.25">
      <c r="B278" s="9"/>
      <c r="C278" s="9"/>
    </row>
    <row r="279" spans="2:8" hidden="1" x14ac:dyDescent="0.25">
      <c r="B279" s="1694" t="s">
        <v>939</v>
      </c>
      <c r="C279" s="1695" t="s">
        <v>1184</v>
      </c>
      <c r="D279" s="1694" t="s">
        <v>198</v>
      </c>
    </row>
    <row r="280" spans="2:8" hidden="1" x14ac:dyDescent="0.25">
      <c r="B280" s="1696" t="s">
        <v>935</v>
      </c>
      <c r="C280" s="1696">
        <v>1.4996</v>
      </c>
      <c r="D280" s="1697" t="s">
        <v>983</v>
      </c>
    </row>
    <row r="281" spans="2:8" hidden="1" x14ac:dyDescent="0.25">
      <c r="B281" s="1696" t="s">
        <v>936</v>
      </c>
      <c r="C281" s="1696">
        <v>3.7961</v>
      </c>
      <c r="D281" s="1697" t="s">
        <v>1185</v>
      </c>
    </row>
    <row r="282" spans="2:8" hidden="1" x14ac:dyDescent="0.25">
      <c r="B282" s="9"/>
      <c r="C282" s="9"/>
    </row>
    <row r="283" spans="2:8" hidden="1" x14ac:dyDescent="0.25">
      <c r="B283" s="9"/>
      <c r="C283" s="9"/>
      <c r="D283" s="9"/>
      <c r="E283" s="9"/>
      <c r="F283" s="9"/>
      <c r="G283" s="9"/>
    </row>
    <row r="284" spans="2:8" x14ac:dyDescent="0.25">
      <c r="B284" s="4" t="s">
        <v>1186</v>
      </c>
      <c r="C284" s="4"/>
      <c r="D284" s="4"/>
      <c r="E284" s="4"/>
      <c r="F284" s="4"/>
      <c r="G284" s="4"/>
      <c r="H284" s="5"/>
    </row>
    <row r="285" spans="2:8" x14ac:dyDescent="0.25">
      <c r="B285" s="746" t="s">
        <v>1187</v>
      </c>
      <c r="C285" s="20"/>
      <c r="D285" s="7" t="s">
        <v>198</v>
      </c>
      <c r="E285" s="26"/>
      <c r="F285" s="5"/>
      <c r="G285" s="31"/>
      <c r="H285" s="5"/>
    </row>
    <row r="286" spans="2:8" x14ac:dyDescent="0.3">
      <c r="B286" s="3">
        <v>120</v>
      </c>
      <c r="D286" s="518" t="s">
        <v>1188</v>
      </c>
    </row>
    <row r="287" spans="2:8" x14ac:dyDescent="0.3">
      <c r="D287" s="518"/>
    </row>
    <row r="288" spans="2:8" x14ac:dyDescent="0.25"/>
    <row r="289" spans="2:9" x14ac:dyDescent="0.25">
      <c r="B289" s="4" t="s">
        <v>1189</v>
      </c>
      <c r="C289" s="4"/>
      <c r="D289" s="4"/>
      <c r="E289" s="4"/>
      <c r="F289" s="4"/>
      <c r="G289" s="4"/>
      <c r="H289" s="4"/>
    </row>
    <row r="290" spans="2:9" x14ac:dyDescent="0.25">
      <c r="B290" s="19" t="s">
        <v>1190</v>
      </c>
      <c r="C290" s="19" t="s">
        <v>183</v>
      </c>
      <c r="D290" s="19" t="s">
        <v>90</v>
      </c>
      <c r="E290" s="19"/>
      <c r="F290" s="19"/>
      <c r="G290" s="19"/>
      <c r="H290" s="19"/>
      <c r="I290" s="33"/>
    </row>
    <row r="291" spans="2:9" x14ac:dyDescent="0.25">
      <c r="B291" s="9" t="s">
        <v>183</v>
      </c>
      <c r="C291" s="9">
        <v>1</v>
      </c>
      <c r="D291" s="9">
        <v>1000</v>
      </c>
      <c r="E291" s="9"/>
      <c r="F291" s="9"/>
    </row>
    <row r="292" spans="2:9" x14ac:dyDescent="0.25">
      <c r="B292" s="9" t="s">
        <v>90</v>
      </c>
      <c r="C292" s="9">
        <f>1/D291</f>
        <v>1E-3</v>
      </c>
      <c r="D292" s="9">
        <v>1</v>
      </c>
      <c r="E292" s="9"/>
      <c r="F292" s="9"/>
    </row>
    <row r="293" spans="2:9" x14ac:dyDescent="0.25">
      <c r="B293" s="9"/>
      <c r="C293" s="9"/>
      <c r="D293" s="9"/>
      <c r="E293" s="9"/>
      <c r="F293" s="9"/>
    </row>
    <row r="294" spans="2:9" x14ac:dyDescent="0.25">
      <c r="B294" s="9"/>
      <c r="C294" s="9"/>
      <c r="D294" s="9"/>
      <c r="E294" s="9"/>
      <c r="F294" s="9"/>
    </row>
    <row r="295" spans="2:9" x14ac:dyDescent="0.25">
      <c r="B295" s="19" t="s">
        <v>1191</v>
      </c>
      <c r="C295" s="19" t="s">
        <v>476</v>
      </c>
      <c r="D295" s="19" t="s">
        <v>1192</v>
      </c>
      <c r="E295" s="19" t="s">
        <v>1193</v>
      </c>
      <c r="F295" s="11"/>
      <c r="G295" s="5"/>
      <c r="H295" s="5"/>
    </row>
    <row r="296" spans="2:9" x14ac:dyDescent="0.25">
      <c r="B296" s="9" t="s">
        <v>476</v>
      </c>
      <c r="C296" s="9">
        <v>1</v>
      </c>
      <c r="D296" s="9">
        <v>1</v>
      </c>
      <c r="E296" s="9">
        <v>1000</v>
      </c>
      <c r="F296" s="9"/>
    </row>
    <row r="297" spans="2:9" x14ac:dyDescent="0.25">
      <c r="B297" s="9" t="s">
        <v>1192</v>
      </c>
      <c r="C297" s="9">
        <f>1/D296</f>
        <v>1</v>
      </c>
      <c r="D297" s="9">
        <v>1</v>
      </c>
      <c r="E297" s="9">
        <v>1000</v>
      </c>
      <c r="F297" s="9"/>
    </row>
    <row r="298" spans="2:9" x14ac:dyDescent="0.25">
      <c r="B298" s="9" t="s">
        <v>1193</v>
      </c>
      <c r="C298" s="9">
        <f>1/E296</f>
        <v>1E-3</v>
      </c>
      <c r="D298" s="9">
        <f>1/E297</f>
        <v>1E-3</v>
      </c>
      <c r="E298" s="9">
        <v>1</v>
      </c>
      <c r="F298" s="9"/>
    </row>
    <row r="299" spans="2:9" x14ac:dyDescent="0.25">
      <c r="B299" s="9"/>
      <c r="C299" s="9"/>
      <c r="D299" s="9"/>
      <c r="E299" s="9"/>
      <c r="F299" s="9"/>
    </row>
    <row r="300" spans="2:9" x14ac:dyDescent="0.25">
      <c r="B300" s="9"/>
      <c r="C300" s="9"/>
      <c r="D300" s="9"/>
      <c r="E300" s="9"/>
      <c r="F300" s="9"/>
    </row>
    <row r="301" spans="2:9" x14ac:dyDescent="0.25">
      <c r="B301" s="19" t="s">
        <v>1194</v>
      </c>
      <c r="C301" s="19" t="s">
        <v>1195</v>
      </c>
      <c r="D301" s="19" t="s">
        <v>415</v>
      </c>
      <c r="E301" s="19" t="s">
        <v>86</v>
      </c>
      <c r="F301" s="19" t="s">
        <v>1196</v>
      </c>
      <c r="G301" s="4"/>
      <c r="H301" s="4"/>
    </row>
    <row r="302" spans="2:9" x14ac:dyDescent="0.25">
      <c r="B302" s="9" t="s">
        <v>1195</v>
      </c>
      <c r="C302" s="9">
        <v>1</v>
      </c>
      <c r="D302" s="9">
        <v>277.77777777777698</v>
      </c>
      <c r="E302" s="9">
        <f>EnergyConversionTable[[#This Row],[kWh]]/1000</f>
        <v>0.27777777777777696</v>
      </c>
      <c r="F302" s="9">
        <f>EnergyConversionTable[[#This Row],[GJ]]*1000000</f>
        <v>1000000</v>
      </c>
    </row>
    <row r="303" spans="2:9" x14ac:dyDescent="0.25">
      <c r="B303" s="9" t="s">
        <v>415</v>
      </c>
      <c r="C303" s="9">
        <f>1/D302</f>
        <v>3.6000000000000103E-3</v>
      </c>
      <c r="D303" s="9">
        <v>1</v>
      </c>
      <c r="E303" s="9">
        <f>EnergyConversionTable[[#This Row],[kWh]]/1000</f>
        <v>1E-3</v>
      </c>
      <c r="F303" s="9">
        <f>EnergyConversionTable[[#This Row],[GJ]]*1000000</f>
        <v>3600.0000000000105</v>
      </c>
    </row>
    <row r="304" spans="2:9" x14ac:dyDescent="0.25">
      <c r="B304" s="9" t="s">
        <v>86</v>
      </c>
      <c r="C304" s="9">
        <f>1/E302</f>
        <v>3.6000000000000107</v>
      </c>
      <c r="D304" s="9">
        <v>1000</v>
      </c>
      <c r="E304" s="9">
        <f>EnergyConversionTable[[#This Row],[kWh]]/1000</f>
        <v>1</v>
      </c>
      <c r="F304" s="9">
        <f>EnergyConversionTable[[#This Row],[GJ]]*1000000</f>
        <v>3600000.0000000107</v>
      </c>
    </row>
    <row r="305" spans="2:8" x14ac:dyDescent="0.25">
      <c r="B305" s="9" t="s">
        <v>1196</v>
      </c>
      <c r="C305" s="9">
        <f>1/F302</f>
        <v>9.9999999999999995E-7</v>
      </c>
      <c r="D305" s="9">
        <f>D302/1000000</f>
        <v>2.7777777777777696E-4</v>
      </c>
      <c r="E305" s="9">
        <f>EnergyConversionTable[[#This Row],[kWh]]/1000</f>
        <v>2.7777777777777697E-7</v>
      </c>
      <c r="F305" s="9">
        <f>EnergyConversionTable[[#This Row],[GJ]]*1000000</f>
        <v>1</v>
      </c>
    </row>
    <row r="306" spans="2:8" x14ac:dyDescent="0.25"/>
    <row r="307" spans="2:8" x14ac:dyDescent="0.25">
      <c r="B307" s="4" t="s">
        <v>539</v>
      </c>
      <c r="C307" s="4"/>
      <c r="D307" s="4"/>
      <c r="E307" s="4"/>
      <c r="F307" s="4"/>
      <c r="G307" s="4"/>
      <c r="H307" s="4"/>
    </row>
    <row r="308" spans="2:8" x14ac:dyDescent="0.25">
      <c r="B308" s="19" t="s">
        <v>729</v>
      </c>
      <c r="C308" s="19" t="s">
        <v>980</v>
      </c>
      <c r="D308" s="7"/>
      <c r="E308" s="7" t="s">
        <v>198</v>
      </c>
      <c r="F308" s="5"/>
      <c r="G308" s="5"/>
      <c r="H308" s="5"/>
    </row>
    <row r="309" spans="2:8" x14ac:dyDescent="0.25">
      <c r="B309" s="9">
        <v>23.684999999999999</v>
      </c>
      <c r="C309" s="9" t="s">
        <v>1197</v>
      </c>
      <c r="E309" t="s">
        <v>1198</v>
      </c>
    </row>
    <row r="310" spans="2:8" x14ac:dyDescent="0.25">
      <c r="B310" s="9"/>
      <c r="C310" s="9"/>
      <c r="E310"/>
    </row>
    <row r="311" spans="2:8" x14ac:dyDescent="0.25"/>
    <row r="312" spans="2:8" x14ac:dyDescent="0.25">
      <c r="B312" s="4" t="s">
        <v>1199</v>
      </c>
      <c r="C312" s="4" t="s">
        <v>90</v>
      </c>
      <c r="D312" s="4" t="s">
        <v>476</v>
      </c>
    </row>
    <row r="313" spans="2:8" x14ac:dyDescent="0.25">
      <c r="B313" s="9" t="s">
        <v>476</v>
      </c>
      <c r="C313" s="9">
        <v>1000</v>
      </c>
      <c r="D313" s="9">
        <f>Table13[[#This Row],[kg]]/1000</f>
        <v>1</v>
      </c>
    </row>
    <row r="314" spans="2:8" x14ac:dyDescent="0.25">
      <c r="B314" s="9" t="s">
        <v>1192</v>
      </c>
      <c r="C314" s="9">
        <v>1000</v>
      </c>
      <c r="D314" s="9">
        <f>Table13[[#This Row],[kg]]/1000</f>
        <v>1</v>
      </c>
    </row>
    <row r="315" spans="2:8" x14ac:dyDescent="0.25">
      <c r="B315" s="9" t="s">
        <v>1193</v>
      </c>
      <c r="C315" s="9">
        <v>1</v>
      </c>
      <c r="D315" s="9">
        <f>Table13[[#This Row],[kg]]/1000</f>
        <v>1E-3</v>
      </c>
    </row>
    <row r="316" spans="2:8" x14ac:dyDescent="0.25">
      <c r="B316" s="9" t="s">
        <v>183</v>
      </c>
      <c r="C316" s="9">
        <v>1000</v>
      </c>
      <c r="D316" s="9">
        <f>Table13[[#This Row],[kg]]/1000</f>
        <v>1</v>
      </c>
    </row>
    <row r="317" spans="2:8" x14ac:dyDescent="0.25">
      <c r="B317" s="9" t="s">
        <v>90</v>
      </c>
      <c r="C317" s="9">
        <v>1</v>
      </c>
      <c r="D317" s="9">
        <f>Table13[[#This Row],[kg]]/1000</f>
        <v>1E-3</v>
      </c>
    </row>
    <row r="318" spans="2:8" x14ac:dyDescent="0.25">
      <c r="B318"/>
    </row>
    <row r="319" spans="2:8" x14ac:dyDescent="0.25">
      <c r="B319" s="4" t="s">
        <v>1200</v>
      </c>
      <c r="C319" s="4"/>
      <c r="D319" s="4"/>
      <c r="E319" s="4"/>
      <c r="F319" s="4"/>
      <c r="G319" s="4"/>
      <c r="H319" s="4"/>
    </row>
    <row r="320" spans="2:8" x14ac:dyDescent="0.25">
      <c r="B320" s="19" t="s">
        <v>243</v>
      </c>
      <c r="C320" s="19" t="s">
        <v>646</v>
      </c>
      <c r="D320" s="19" t="s">
        <v>1201</v>
      </c>
      <c r="E320" s="19" t="s">
        <v>1202</v>
      </c>
      <c r="F320" s="19" t="s">
        <v>1203</v>
      </c>
      <c r="G320" s="4"/>
      <c r="H320" s="7" t="s">
        <v>198</v>
      </c>
    </row>
    <row r="321" spans="2:8" ht="15" customHeight="1" x14ac:dyDescent="0.25">
      <c r="B321" t="s">
        <v>656</v>
      </c>
      <c r="C321" t="s">
        <v>369</v>
      </c>
      <c r="D321">
        <v>38.6</v>
      </c>
      <c r="E321">
        <v>70.400000000000006</v>
      </c>
      <c r="F321">
        <v>17.3</v>
      </c>
      <c r="H321" s="1945" t="s">
        <v>1141</v>
      </c>
    </row>
    <row r="322" spans="2:8" x14ac:dyDescent="0.25">
      <c r="B322" t="s">
        <v>656</v>
      </c>
      <c r="C322" t="s">
        <v>1204</v>
      </c>
      <c r="D322">
        <v>38.6</v>
      </c>
      <c r="E322">
        <v>70.37</v>
      </c>
      <c r="F322">
        <v>17.3</v>
      </c>
      <c r="H322" s="1945"/>
    </row>
    <row r="323" spans="2:8" x14ac:dyDescent="0.25">
      <c r="B323" t="s">
        <v>656</v>
      </c>
      <c r="C323" t="s">
        <v>1205</v>
      </c>
      <c r="D323">
        <v>38.6</v>
      </c>
      <c r="E323">
        <v>70.400000000000006</v>
      </c>
      <c r="F323">
        <v>17.3</v>
      </c>
      <c r="H323" s="1945"/>
    </row>
    <row r="324" spans="2:8" x14ac:dyDescent="0.25">
      <c r="B324" t="s">
        <v>656</v>
      </c>
      <c r="C324" t="s">
        <v>1206</v>
      </c>
      <c r="D324">
        <v>38.6</v>
      </c>
      <c r="E324">
        <v>70.5</v>
      </c>
      <c r="F324">
        <v>17.3</v>
      </c>
      <c r="H324" s="1945"/>
    </row>
    <row r="325" spans="2:8" x14ac:dyDescent="0.25">
      <c r="B325" t="s">
        <v>1207</v>
      </c>
      <c r="C325" t="s">
        <v>369</v>
      </c>
      <c r="D325">
        <v>26.2</v>
      </c>
      <c r="E325">
        <v>61.500000000000007</v>
      </c>
      <c r="F325">
        <v>20.2</v>
      </c>
      <c r="H325" s="1945"/>
    </row>
    <row r="326" spans="2:8" x14ac:dyDescent="0.25">
      <c r="B326" t="s">
        <v>1208</v>
      </c>
      <c r="C326" t="s">
        <v>369</v>
      </c>
      <c r="D326">
        <v>34.200000000000003</v>
      </c>
      <c r="E326">
        <v>69.599999999999994</v>
      </c>
      <c r="F326">
        <v>17.2</v>
      </c>
      <c r="H326" s="1945"/>
    </row>
    <row r="327" spans="2:8" x14ac:dyDescent="0.25">
      <c r="B327" t="s">
        <v>486</v>
      </c>
      <c r="C327" t="s">
        <v>369</v>
      </c>
      <c r="D327" t="s">
        <v>369</v>
      </c>
      <c r="E327" t="str">
        <f>'Hidden Lists and Summaries'!$C$157</f>
        <v>No default, please enter a bespoke value</v>
      </c>
      <c r="F327" t="str">
        <f>'Hidden Lists and Summaries'!$C$157</f>
        <v>No default, please enter a bespoke value</v>
      </c>
      <c r="H327" s="1945"/>
    </row>
    <row r="328" spans="2:8" x14ac:dyDescent="0.25">
      <c r="B328" t="s">
        <v>369</v>
      </c>
      <c r="C328" t="s">
        <v>369</v>
      </c>
      <c r="D328" t="s">
        <v>369</v>
      </c>
      <c r="E328" t="s">
        <v>369</v>
      </c>
      <c r="F328" t="s">
        <v>369</v>
      </c>
      <c r="H328" s="1945"/>
    </row>
    <row r="329" spans="2:8" x14ac:dyDescent="0.25">
      <c r="B329"/>
      <c r="C329"/>
      <c r="D329"/>
      <c r="E329"/>
      <c r="F329"/>
      <c r="G329" s="1841"/>
    </row>
    <row r="330" spans="2:8" x14ac:dyDescent="0.25">
      <c r="G330" s="1841"/>
    </row>
    <row r="331" spans="2:8" x14ac:dyDescent="0.25">
      <c r="B331" s="4" t="s">
        <v>1209</v>
      </c>
      <c r="C331" s="4"/>
      <c r="D331" s="4"/>
      <c r="E331" s="4"/>
      <c r="F331" s="4"/>
      <c r="G331" s="1841"/>
    </row>
    <row r="332" spans="2:8" x14ac:dyDescent="0.25">
      <c r="B332" s="19" t="s">
        <v>1210</v>
      </c>
      <c r="C332" s="19" t="s">
        <v>1211</v>
      </c>
      <c r="D332" s="19" t="s">
        <v>1212</v>
      </c>
      <c r="E332" s="4"/>
      <c r="F332" s="7" t="s">
        <v>198</v>
      </c>
      <c r="G332" s="1841"/>
    </row>
    <row r="333" spans="2:8" x14ac:dyDescent="0.25">
      <c r="B333" t="str">
        <f>'Hidden Lists and Summaries'!$B$90</f>
        <v>Articulated Truck - bulk gas container</v>
      </c>
      <c r="C333" t="str">
        <f>'Hidden Lists and Summaries'!$B$109</f>
        <v>Diesel oil</v>
      </c>
      <c r="D333">
        <v>54.9</v>
      </c>
      <c r="F333" s="1945" t="s">
        <v>1349</v>
      </c>
      <c r="G333" s="1841"/>
    </row>
    <row r="334" spans="2:8" x14ac:dyDescent="0.25">
      <c r="B334" t="str">
        <f>'Hidden Lists and Summaries'!$B$91</f>
        <v>Articulated Truck - ISO fluid container on flat bed</v>
      </c>
      <c r="C334" t="str">
        <f>'Hidden Lists and Summaries'!$B$109</f>
        <v>Diesel oil</v>
      </c>
      <c r="D334">
        <v>54.9</v>
      </c>
      <c r="F334" s="1945"/>
      <c r="G334" s="1841"/>
    </row>
    <row r="335" spans="2:8" x14ac:dyDescent="0.25">
      <c r="B335" t="str">
        <f>'Hidden Lists and Summaries'!$B$92</f>
        <v>Rigid Truck - gas cylinder truck</v>
      </c>
      <c r="C335" t="str">
        <f>'Hidden Lists and Summaries'!B109</f>
        <v>Diesel oil</v>
      </c>
      <c r="D335">
        <v>28.6</v>
      </c>
      <c r="F335" s="1945"/>
    </row>
    <row r="336" spans="2:8" x14ac:dyDescent="0.25">
      <c r="B336" t="str">
        <f>'Hidden Lists and Summaries'!$B$92</f>
        <v>Rigid Truck - gas cylinder truck</v>
      </c>
      <c r="C336" t="str">
        <f>'Hidden Lists and Summaries'!B110</f>
        <v>Liquified Petroleum Gas</v>
      </c>
      <c r="D336">
        <v>29.5</v>
      </c>
      <c r="F336" s="1945"/>
    </row>
    <row r="337" spans="2:6" x14ac:dyDescent="0.25">
      <c r="B337" t="str">
        <f>'Hidden Lists and Summaries'!$B$92</f>
        <v>Rigid Truck - gas cylinder truck</v>
      </c>
      <c r="C337" t="str">
        <f>'Hidden Lists and Summaries'!B111</f>
        <v>Gasoline</v>
      </c>
      <c r="D337">
        <v>20.6</v>
      </c>
      <c r="F337" s="1945"/>
    </row>
    <row r="338" spans="2:6" x14ac:dyDescent="0.25">
      <c r="B338" t="str">
        <f>'Hidden Lists and Summaries'!$B$93</f>
        <v>Light Commercial truck - gas cylinder truck</v>
      </c>
      <c r="C338" t="str">
        <f>'Hidden Lists and Summaries'!B109</f>
        <v>Diesel oil</v>
      </c>
      <c r="D338">
        <v>12.3</v>
      </c>
      <c r="F338" s="1945"/>
    </row>
    <row r="339" spans="2:6" x14ac:dyDescent="0.25">
      <c r="B339" t="str">
        <f>'Hidden Lists and Summaries'!$B$93</f>
        <v>Light Commercial truck - gas cylinder truck</v>
      </c>
      <c r="C339" t="str">
        <f>'Hidden Lists and Summaries'!B110</f>
        <v>Liquified Petroleum Gas</v>
      </c>
      <c r="D339">
        <v>15.3</v>
      </c>
      <c r="F339" s="1945"/>
    </row>
    <row r="340" spans="2:6" x14ac:dyDescent="0.25">
      <c r="B340" t="str">
        <f>'Hidden Lists and Summaries'!$B$93</f>
        <v>Light Commercial truck - gas cylinder truck</v>
      </c>
      <c r="C340" t="str">
        <f>'Hidden Lists and Summaries'!B111</f>
        <v>Gasoline</v>
      </c>
      <c r="D340">
        <v>13.4</v>
      </c>
      <c r="F340" s="1945"/>
    </row>
    <row r="341" spans="2:6" x14ac:dyDescent="0.25">
      <c r="B341"/>
      <c r="C341"/>
      <c r="D341"/>
    </row>
    <row r="342" spans="2:6" x14ac:dyDescent="0.25"/>
    <row r="343" spans="2:6" x14ac:dyDescent="0.25">
      <c r="B343" s="4" t="s">
        <v>1213</v>
      </c>
      <c r="C343" s="4"/>
      <c r="D343" s="4"/>
      <c r="E343" s="4"/>
      <c r="F343" s="4"/>
    </row>
    <row r="344" spans="2:6" x14ac:dyDescent="0.25">
      <c r="B344" s="19" t="s">
        <v>1214</v>
      </c>
      <c r="C344" s="19" t="s">
        <v>1215</v>
      </c>
      <c r="D344" s="19" t="s">
        <v>872</v>
      </c>
      <c r="E344" s="4"/>
      <c r="F344" s="7" t="s">
        <v>198</v>
      </c>
    </row>
    <row r="345" spans="2:6" x14ac:dyDescent="0.25">
      <c r="B345" t="str">
        <f>'Hidden Lists and Summaries'!$B$90</f>
        <v>Articulated Truck - bulk gas container</v>
      </c>
      <c r="C345">
        <v>7.2830900000000004E-2</v>
      </c>
      <c r="D345">
        <v>1.0687E-2</v>
      </c>
      <c r="F345" s="1945" t="s">
        <v>1348</v>
      </c>
    </row>
    <row r="346" spans="2:6" x14ac:dyDescent="0.25">
      <c r="B346" t="str">
        <f>'Hidden Lists and Summaries'!$B$91</f>
        <v>Articulated Truck - ISO fluid container on flat bed</v>
      </c>
      <c r="C346">
        <v>7.2830900000000004E-2</v>
      </c>
      <c r="D346">
        <v>1.0687E-2</v>
      </c>
      <c r="F346" s="1945"/>
    </row>
    <row r="347" spans="2:6" x14ac:dyDescent="0.25">
      <c r="B347" t="str">
        <f>'Hidden Lists and Summaries'!$B$92</f>
        <v>Rigid Truck - gas cylinder truck</v>
      </c>
      <c r="C347">
        <v>0.20695</v>
      </c>
      <c r="D347">
        <v>3.0370000000000001E-2</v>
      </c>
      <c r="F347" s="1945"/>
    </row>
    <row r="348" spans="2:6" x14ac:dyDescent="0.25">
      <c r="B348" t="str">
        <f>'Hidden Lists and Summaries'!$B$93</f>
        <v>Light Commercial truck - gas cylinder truck</v>
      </c>
      <c r="C348">
        <v>1.82575</v>
      </c>
      <c r="D348">
        <v>0.26790199999999997</v>
      </c>
      <c r="F348" s="1945"/>
    </row>
    <row r="349" spans="2:6" x14ac:dyDescent="0.25">
      <c r="B349" t="str">
        <f>'Hidden Lists and Summaries'!$B$94</f>
        <v>Coastal shipping - General ISO container vessels</v>
      </c>
      <c r="C349">
        <v>1.9980000000000001E-2</v>
      </c>
      <c r="D349">
        <v>2.9640000000000001E-3</v>
      </c>
      <c r="F349" s="1945"/>
    </row>
    <row r="350" spans="2:6" x14ac:dyDescent="0.25">
      <c r="B350" t="str">
        <f>'Hidden Lists and Summaries'!$B$95</f>
        <v>Coastal shipping - Dedicated liquid hydrogen tanker</v>
      </c>
      <c r="C350">
        <v>1.9980000000000001E-2</v>
      </c>
      <c r="D350">
        <v>2.9640000000000001E-3</v>
      </c>
      <c r="F350" s="1945"/>
    </row>
    <row r="351" spans="2:6" x14ac:dyDescent="0.25">
      <c r="B351" t="str">
        <f>'Hidden Lists and Summaries'!$B$96</f>
        <v>Rail - dedicated rail car</v>
      </c>
      <c r="C351">
        <v>8.2195099999999993E-3</v>
      </c>
      <c r="D351">
        <v>5.9030000000000003E-3</v>
      </c>
      <c r="F351" s="1945"/>
    </row>
    <row r="352" spans="2:6" x14ac:dyDescent="0.25">
      <c r="B352" t="str">
        <f>'Hidden Lists and Summaries'!$B$97</f>
        <v>Rail - ISO container flat-bed car</v>
      </c>
      <c r="C352">
        <v>8.2195099999999993E-3</v>
      </c>
      <c r="D352">
        <v>5.9030000000000003E-3</v>
      </c>
      <c r="F352" s="1945"/>
    </row>
    <row r="353" x14ac:dyDescent="0.25"/>
    <row r="354" x14ac:dyDescent="0.25"/>
    <row r="387" spans="2:2" hidden="1" x14ac:dyDescent="0.25">
      <c r="B387" s="1036"/>
    </row>
  </sheetData>
  <sheetProtection sheet="1" objects="1" scenarios="1"/>
  <mergeCells count="28">
    <mergeCell ref="B3:H3"/>
    <mergeCell ref="F252:G252"/>
    <mergeCell ref="D252:E252"/>
    <mergeCell ref="H252:I252"/>
    <mergeCell ref="B4:B5"/>
    <mergeCell ref="F9:F16"/>
    <mergeCell ref="F20:F23"/>
    <mergeCell ref="E221:E234"/>
    <mergeCell ref="E62:E68"/>
    <mergeCell ref="I41:I58"/>
    <mergeCell ref="D70:F70"/>
    <mergeCell ref="C207:D207"/>
    <mergeCell ref="F189:F192"/>
    <mergeCell ref="E177:E184"/>
    <mergeCell ref="E165:E172"/>
    <mergeCell ref="F24:H28"/>
    <mergeCell ref="K254:K259"/>
    <mergeCell ref="G271:G276"/>
    <mergeCell ref="J101:J120"/>
    <mergeCell ref="F90:F97"/>
    <mergeCell ref="I197:I204"/>
    <mergeCell ref="H321:H328"/>
    <mergeCell ref="F333:F340"/>
    <mergeCell ref="F345:F352"/>
    <mergeCell ref="E264:E266"/>
    <mergeCell ref="J72:J85"/>
    <mergeCell ref="E124:E142"/>
    <mergeCell ref="E209:E217"/>
  </mergeCells>
  <phoneticPr fontId="3" type="noConversion"/>
  <dataValidations disablePrompts="1" count="1">
    <dataValidation allowBlank="1" showInputMessage="1" showErrorMessage="1" prompt="Other than:_x000a_(a) petroleum based oils and petroleum based greases mentioned_x000a_(b) the petroleum based products mentioned" sqref="B142" xr:uid="{8B766B6B-BD32-490D-968E-B594D904918F}"/>
  </dataValidations>
  <pageMargins left="0.7" right="0.7" top="0.75" bottom="0.75" header="0.3" footer="0.3"/>
  <pageSetup orientation="portrait" r:id="rId1"/>
  <drawing r:id="rId2"/>
  <legacyDrawing r:id="rId3"/>
  <tableParts count="34">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83F020C0D66A408AC5E2F51A8D5F99" ma:contentTypeVersion="15" ma:contentTypeDescription="Create a new document." ma:contentTypeScope="" ma:versionID="bcefc38972abb820bd653d62a0321f3b">
  <xsd:schema xmlns:xsd="http://www.w3.org/2001/XMLSchema" xmlns:xs="http://www.w3.org/2001/XMLSchema" xmlns:p="http://schemas.microsoft.com/office/2006/metadata/properties" xmlns:ns2="a6e86820-684a-4c77-a2e2-d773523b5b34" xmlns:ns3="263e80a3-83eb-403e-a237-b3125a65bc88" xmlns:ns4="81c01dc6-2c49-4730-b140-874c95cac377" targetNamespace="http://schemas.microsoft.com/office/2006/metadata/properties" ma:root="true" ma:fieldsID="3f0b18605fd359b08c2a539764036618" ns2:_="" ns3:_="" ns4:_="">
    <xsd:import namespace="a6e86820-684a-4c77-a2e2-d773523b5b34"/>
    <xsd:import namespace="263e80a3-83eb-403e-a237-b3125a65bc88"/>
    <xsd:import namespace="81c01dc6-2c49-4730-b140-874c95cac37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Authorship"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86820-684a-4c77-a2e2-d773523b5b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e80a3-83eb-403e-a237-b3125a65bc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Authorship" ma:index="20" nillable="true" ma:displayName="Authorship" ma:format="Dropdown" ma:internalName="Authorship">
      <xsd:simpleType>
        <xsd:restriction base="dms:Choice">
          <xsd:enumeration value="Government"/>
          <xsd:enumeration value="Industry"/>
          <xsd:enumeration value="Academic"/>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45d8e6-bb2d-417b-a0ab-3512baac0c97}" ma:internalName="TaxCatchAll" ma:showField="CatchAllData" ma:web="a6e86820-684a-4c77-a2e2-d773523b5b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1c01dc6-2c49-4730-b140-874c95cac377" xsi:nil="true"/>
    <lcf76f155ced4ddcb4097134ff3c332f xmlns="263e80a3-83eb-403e-a237-b3125a65bc88">
      <Terms xmlns="http://schemas.microsoft.com/office/infopath/2007/PartnerControls"/>
    </lcf76f155ced4ddcb4097134ff3c332f>
    <Authorship xmlns="263e80a3-83eb-403e-a237-b3125a65bc88" xsi:nil="true"/>
  </documentManagement>
</p:properties>
</file>

<file path=customXml/itemProps1.xml><?xml version="1.0" encoding="utf-8"?>
<ds:datastoreItem xmlns:ds="http://schemas.openxmlformats.org/officeDocument/2006/customXml" ds:itemID="{60AAC7FD-BA27-40E4-8ECC-2C0569CC4701}">
  <ds:schemaRefs>
    <ds:schemaRef ds:uri="http://schemas.microsoft.com/sharepoint/v3/contenttype/forms"/>
  </ds:schemaRefs>
</ds:datastoreItem>
</file>

<file path=customXml/itemProps2.xml><?xml version="1.0" encoding="utf-8"?>
<ds:datastoreItem xmlns:ds="http://schemas.openxmlformats.org/officeDocument/2006/customXml" ds:itemID="{491AC7AC-2ACD-46B5-AE90-6625C77B9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86820-684a-4c77-a2e2-d773523b5b34"/>
    <ds:schemaRef ds:uri="263e80a3-83eb-403e-a237-b3125a65bc88"/>
    <ds:schemaRef ds:uri="81c01dc6-2c49-4730-b140-874c95cac3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852491-2B37-4D34-B157-B9BB3DA6B207}">
  <ds:schemaRefs>
    <ds:schemaRef ds:uri="http://schemas.openxmlformats.org/package/2006/metadata/core-properties"/>
    <ds:schemaRef ds:uri="http://purl.org/dc/terms/"/>
    <ds:schemaRef ds:uri="http://purl.org/dc/dcmitype/"/>
    <ds:schemaRef ds:uri="263e80a3-83eb-403e-a237-b3125a65bc88"/>
    <ds:schemaRef ds:uri="http://schemas.microsoft.com/office/2006/documentManagement/types"/>
    <ds:schemaRef ds:uri="http://purl.org/dc/elements/1.1/"/>
    <ds:schemaRef ds:uri="http://www.w3.org/XML/1998/namespace"/>
    <ds:schemaRef ds:uri="a6e86820-684a-4c77-a2e2-d773523b5b34"/>
    <ds:schemaRef ds:uri="http://schemas.microsoft.com/office/infopath/2007/PartnerControls"/>
    <ds:schemaRef ds:uri="81c01dc6-2c49-4730-b140-874c95cac37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255</vt:i4>
      </vt:variant>
    </vt:vector>
  </HeadingPairs>
  <TitlesOfParts>
    <vt:vector size="276" baseType="lpstr">
      <vt:lpstr>Welcome</vt:lpstr>
      <vt:lpstr>Facility Details</vt:lpstr>
      <vt:lpstr>Electricity Usage</vt:lpstr>
      <vt:lpstr>Electrolysis</vt:lpstr>
      <vt:lpstr>Natural Gas Reforming</vt:lpstr>
      <vt:lpstr>Coal Gasification</vt:lpstr>
      <vt:lpstr>Transport &amp; Storage - Hydrogen</vt:lpstr>
      <vt:lpstr>Production Summary</vt:lpstr>
      <vt:lpstr>Ammonia Production</vt:lpstr>
      <vt:lpstr>Hydrogen Liquefaction</vt:lpstr>
      <vt:lpstr>LOHC - Hydrogenation</vt:lpstr>
      <vt:lpstr>Transport - Conditioning</vt:lpstr>
      <vt:lpstr>Conditioning Summary</vt:lpstr>
      <vt:lpstr>Ammonia Cracking</vt:lpstr>
      <vt:lpstr>LOHC - Dehydrogenation</vt:lpstr>
      <vt:lpstr>Transport - Downstream</vt:lpstr>
      <vt:lpstr>Downstream Summary</vt:lpstr>
      <vt:lpstr>Certificate</vt:lpstr>
      <vt:lpstr>Hidden Lists and Summaries</vt:lpstr>
      <vt:lpstr>Name Plate Certificate</vt:lpstr>
      <vt:lpstr>Key Values</vt:lpstr>
      <vt:lpstr>ACT_Jurisdictional_Renewables_Constant</vt:lpstr>
      <vt:lpstr>amm_annual_capacity</vt:lpstr>
      <vt:lpstr>amm_annual_capacity_tonnes</vt:lpstr>
      <vt:lpstr>amm_integrated_facility</vt:lpstr>
      <vt:lpstr>amm_netEmissionsIntensity</vt:lpstr>
      <vt:lpstr>amm_overall_net_EI</vt:lpstr>
      <vt:lpstr>amm_product_delivered_kg</vt:lpstr>
      <vt:lpstr>amm_quantityProduced_tonnes</vt:lpstr>
      <vt:lpstr>ammCrack_annualCapacity_tonnes</vt:lpstr>
      <vt:lpstr>ammCrack_NetEmissionsIntensity</vt:lpstr>
      <vt:lpstr>ammCrack_overall_net_EI</vt:lpstr>
      <vt:lpstr>ammCrack_quantity_delivered_kg</vt:lpstr>
      <vt:lpstr>ammCrack_quantityProduced_tonnes</vt:lpstr>
      <vt:lpstr>ammCrackReportingItems</vt:lpstr>
      <vt:lpstr>AmmoniaReportingItems</vt:lpstr>
      <vt:lpstr>conditioning_storage_emissions</vt:lpstr>
      <vt:lpstr>conditioning_transport_and_storage_losses</vt:lpstr>
      <vt:lpstr>conditioning_transport_emissions</vt:lpstr>
      <vt:lpstr>downstream_storage_emissions</vt:lpstr>
      <vt:lpstr>downstream_transport_and_storage_losses</vt:lpstr>
      <vt:lpstr>downstream_transport_emissions</vt:lpstr>
      <vt:lpstr>electrolysis_annual_capacity</vt:lpstr>
      <vt:lpstr>electrolysis_annual_capcaity_tonnes</vt:lpstr>
      <vt:lpstr>electrolysis_BD</vt:lpstr>
      <vt:lpstr>electrolysis_electricity</vt:lpstr>
      <vt:lpstr>electrolysis_FD</vt:lpstr>
      <vt:lpstr>electrolysis_fuel</vt:lpstr>
      <vt:lpstr>electrolysis_gridElecPortion</vt:lpstr>
      <vt:lpstr>electrolysis_gridElectricityUsed</vt:lpstr>
      <vt:lpstr>electrolysis_hydrogenProductionQuantity</vt:lpstr>
      <vt:lpstr>electrolysis_ImportedWaterFeedType</vt:lpstr>
      <vt:lpstr>electrolysis_netEmissionsIntensity</vt:lpstr>
      <vt:lpstr>electrolysis_onsiteCombustionElecPortion</vt:lpstr>
      <vt:lpstr>electrolysis_OU</vt:lpstr>
      <vt:lpstr>electrolysis_overall_net_EI</vt:lpstr>
      <vt:lpstr>electrolysis_process</vt:lpstr>
      <vt:lpstr>electrolysis_quantity_delivered_kg</vt:lpstr>
      <vt:lpstr>electrolysis_quantityImportedWaterFeed</vt:lpstr>
      <vt:lpstr>electrolysis_quantityRawWaterFeed</vt:lpstr>
      <vt:lpstr>electrolysis_RawWaterFeedType</vt:lpstr>
      <vt:lpstr>electrolysis_waste</vt:lpstr>
      <vt:lpstr>ElectrolysisReportingItems</vt:lpstr>
      <vt:lpstr>eletrolysis_annual_capacity</vt:lpstr>
      <vt:lpstr>'Ammonia Cracking'!Energy_Units_Options</vt:lpstr>
      <vt:lpstr>'Hydrogen Liquefaction'!Energy_Units_Options</vt:lpstr>
      <vt:lpstr>'LOHC - Dehydrogenation'!Energy_Units_Options</vt:lpstr>
      <vt:lpstr>'LOHC - Hydrogenation'!Energy_Units_Options</vt:lpstr>
      <vt:lpstr>'Production Summary'!Energy_Units_Options</vt:lpstr>
      <vt:lpstr>'Transport - Conditioning'!Energy_Units_Options</vt:lpstr>
      <vt:lpstr>'Transport - Downstream'!Energy_Units_Options</vt:lpstr>
      <vt:lpstr>'Transport &amp; Storage - Hydrogen'!Energy_Units_Options</vt:lpstr>
      <vt:lpstr>Energy_Units_Options</vt:lpstr>
      <vt:lpstr>'Transport - Conditioning'!Fuel_Consumption_Measurement_Type_List</vt:lpstr>
      <vt:lpstr>'Transport - Downstream'!Fuel_Consumption_Measurement_Type_List</vt:lpstr>
      <vt:lpstr>Fuel_Consumption_Measurement_Type_List</vt:lpstr>
      <vt:lpstr>gasification_annual_capacity</vt:lpstr>
      <vt:lpstr>gasification_annual_capacity_tonnes</vt:lpstr>
      <vt:lpstr>gasification_BD</vt:lpstr>
      <vt:lpstr>gasification_CCS</vt:lpstr>
      <vt:lpstr>gasification_FD</vt:lpstr>
      <vt:lpstr>gasification_feedstock</vt:lpstr>
      <vt:lpstr>gasification_fuel</vt:lpstr>
      <vt:lpstr>gasification_hydrogenProductionQuantity</vt:lpstr>
      <vt:lpstr>gasification_netEmissionsIntensity</vt:lpstr>
      <vt:lpstr>gasification_OU</vt:lpstr>
      <vt:lpstr>gasification_overall_net_EI</vt:lpstr>
      <vt:lpstr>gasification_process</vt:lpstr>
      <vt:lpstr>gasification_quantity_delivered_kg</vt:lpstr>
      <vt:lpstr>gasification_waste</vt:lpstr>
      <vt:lpstr>GasificationReportingItems</vt:lpstr>
      <vt:lpstr>'Transport - Conditioning'!heavy_vehicle_design_standards_options</vt:lpstr>
      <vt:lpstr>'Transport - Downstream'!heavy_vehicle_design_standards_options</vt:lpstr>
      <vt:lpstr>heavy_vehicle_design_standards_options</vt:lpstr>
      <vt:lpstr>'Ammonia Cracking'!Hydrogen_Conditioning_Process_Options</vt:lpstr>
      <vt:lpstr>'Electricity Usage'!Hydrogen_Conditioning_Process_Options</vt:lpstr>
      <vt:lpstr>'Hydrogen Liquefaction'!Hydrogen_Conditioning_Process_Options</vt:lpstr>
      <vt:lpstr>'LOHC - Dehydrogenation'!Hydrogen_Conditioning_Process_Options</vt:lpstr>
      <vt:lpstr>'LOHC - Hydrogenation'!Hydrogen_Conditioning_Process_Options</vt:lpstr>
      <vt:lpstr>'Production Summary'!Hydrogen_Conditioning_Process_Options</vt:lpstr>
      <vt:lpstr>'Transport - Conditioning'!Hydrogen_Conditioning_Process_Options</vt:lpstr>
      <vt:lpstr>'Transport - Downstream'!Hydrogen_Conditioning_Process_Options</vt:lpstr>
      <vt:lpstr>'Transport &amp; Storage - Hydrogen'!Hydrogen_Conditioning_Process_Options</vt:lpstr>
      <vt:lpstr>Hydrogen_Conditioning_Process_Options</vt:lpstr>
      <vt:lpstr>'Ammonia Cracking'!Hydrogen_Production_Pathway_Options</vt:lpstr>
      <vt:lpstr>'Electricity Usage'!Hydrogen_Production_Pathway_Options</vt:lpstr>
      <vt:lpstr>'Hydrogen Liquefaction'!Hydrogen_Production_Pathway_Options</vt:lpstr>
      <vt:lpstr>'LOHC - Dehydrogenation'!Hydrogen_Production_Pathway_Options</vt:lpstr>
      <vt:lpstr>'LOHC - Hydrogenation'!Hydrogen_Production_Pathway_Options</vt:lpstr>
      <vt:lpstr>'Production Summary'!Hydrogen_Production_Pathway_Options</vt:lpstr>
      <vt:lpstr>'Transport - Conditioning'!Hydrogen_Production_Pathway_Options</vt:lpstr>
      <vt:lpstr>'Transport - Downstream'!Hydrogen_Production_Pathway_Options</vt:lpstr>
      <vt:lpstr>'Transport &amp; Storage - Hydrogen'!Hydrogen_Production_Pathway_Options</vt:lpstr>
      <vt:lpstr>Hydrogen_Production_Pathway_Options</vt:lpstr>
      <vt:lpstr>'Facility Details'!i_facilityLocation</vt:lpstr>
      <vt:lpstr>'Transport - Conditioning'!i_facilityLocation</vt:lpstr>
      <vt:lpstr>'Transport - Downstream'!i_facilityLocation</vt:lpstr>
      <vt:lpstr>'Transport &amp; Storage - Hydrogen'!i_facilityLocation</vt:lpstr>
      <vt:lpstr>'Facility Details'!i_facilityMetro</vt:lpstr>
      <vt:lpstr>'Transport - Conditioning'!i_facilityMetro</vt:lpstr>
      <vt:lpstr>'Transport - Downstream'!i_facilityMetro</vt:lpstr>
      <vt:lpstr>'Transport &amp; Storage - Hydrogen'!i_facilityMetro</vt:lpstr>
      <vt:lpstr>iq_batchBegins</vt:lpstr>
      <vt:lpstr>iq_batchBegTime</vt:lpstr>
      <vt:lpstr>iq_batchDurationDays</vt:lpstr>
      <vt:lpstr>iq_batchDurationYears</vt:lpstr>
      <vt:lpstr>iq_batchEnd</vt:lpstr>
      <vt:lpstr>iq_batchEndTime</vt:lpstr>
      <vt:lpstr>iq_ccsACCUsGenerated</vt:lpstr>
      <vt:lpstr>iq_ccsIsACCUsGenerated</vt:lpstr>
      <vt:lpstr>iq_ccsLocation</vt:lpstr>
      <vt:lpstr>iq_ccsMonitoringTech</vt:lpstr>
      <vt:lpstr>iq_ccsPeakCaptureRate</vt:lpstr>
      <vt:lpstr>iq_ccsStorage</vt:lpstr>
      <vt:lpstr>iq_ccsTransport</vt:lpstr>
      <vt:lpstr>iq_commencement</vt:lpstr>
      <vt:lpstr>iq_conditioningIncluded</vt:lpstr>
      <vt:lpstr>iq_conditioningProcess</vt:lpstr>
      <vt:lpstr>iq_downStreamIncluded</vt:lpstr>
      <vt:lpstr>iq_downstreamProcess</vt:lpstr>
      <vt:lpstr>iq_facilityMetro</vt:lpstr>
      <vt:lpstr>iq_location</vt:lpstr>
      <vt:lpstr>iq_metro</vt:lpstr>
      <vt:lpstr>iq_name</vt:lpstr>
      <vt:lpstr>iq_primaryProduct</vt:lpstr>
      <vt:lpstr>iq_primaryProductionIncluded</vt:lpstr>
      <vt:lpstr>iq_selectedPathway</vt:lpstr>
      <vt:lpstr>iq_totalOffsets</vt:lpstr>
      <vt:lpstr>liqHyd_netEmissionsIntensity</vt:lpstr>
      <vt:lpstr>liqHyd_overall_net_EI</vt:lpstr>
      <vt:lpstr>liqHyd_quantity_delivered_kg</vt:lpstr>
      <vt:lpstr>liqHydrogen_capacity_tonnes</vt:lpstr>
      <vt:lpstr>liqHydrogen_integratedFacility</vt:lpstr>
      <vt:lpstr>liqHydrogen_quantityProduced_tonnes</vt:lpstr>
      <vt:lpstr>LiquefactionReportingItems</vt:lpstr>
      <vt:lpstr>'Transport - Conditioning'!Load_Distance_Measure_Type_List</vt:lpstr>
      <vt:lpstr>'Transport - Downstream'!Load_Distance_Measure_Type_List</vt:lpstr>
      <vt:lpstr>Load_Distance_Measure_Type_List</vt:lpstr>
      <vt:lpstr>'Ammonia Cracking'!LOHC_feedstockOptions</vt:lpstr>
      <vt:lpstr>'LOHC - Dehydrogenation'!LOHC_feedstockOptions</vt:lpstr>
      <vt:lpstr>'Production Summary'!LOHC_feedstockOptions</vt:lpstr>
      <vt:lpstr>'Transport - Conditioning'!LOHC_feedstockOptions</vt:lpstr>
      <vt:lpstr>'Transport - Downstream'!LOHC_feedstockOptions</vt:lpstr>
      <vt:lpstr>'Transport &amp; Storage - Hydrogen'!LOHC_feedstockOptions</vt:lpstr>
      <vt:lpstr>LOHC_feedstockOptions</vt:lpstr>
      <vt:lpstr>'Ammonia Cracking'!LOHC_pathwayOptions</vt:lpstr>
      <vt:lpstr>'LOHC - Dehydrogenation'!LOHC_pathwayOptions</vt:lpstr>
      <vt:lpstr>'Production Summary'!LOHC_pathwayOptions</vt:lpstr>
      <vt:lpstr>'Transport - Conditioning'!LOHC_pathwayOptions</vt:lpstr>
      <vt:lpstr>'Transport - Downstream'!LOHC_pathwayOptions</vt:lpstr>
      <vt:lpstr>'Transport &amp; Storage - Hydrogen'!LOHC_pathwayOptions</vt:lpstr>
      <vt:lpstr>LOHC_pathwayOptions</vt:lpstr>
      <vt:lpstr>lohcDehyd_annualCapacity_tonnes</vt:lpstr>
      <vt:lpstr>lohcDehyd_netEmissionsIntensity</vt:lpstr>
      <vt:lpstr>lohcDehyd_overall_net_EI</vt:lpstr>
      <vt:lpstr>lohcDehyd_pathway</vt:lpstr>
      <vt:lpstr>lohcDehyd_quantity_delivered_kg</vt:lpstr>
      <vt:lpstr>lohcDehyd_quantityProduced_tonnes</vt:lpstr>
      <vt:lpstr>lohcDehydroReportingItems</vt:lpstr>
      <vt:lpstr>lohcProd_annualCapacity_tonnes</vt:lpstr>
      <vt:lpstr>lohcProd_integratedFacility</vt:lpstr>
      <vt:lpstr>lohcProd_netEmissionsIntensity</vt:lpstr>
      <vt:lpstr>lohcProd_overall_net_EI</vt:lpstr>
      <vt:lpstr>lohcProd_pathway</vt:lpstr>
      <vt:lpstr>lohcProd_quantity_delivered_kg</vt:lpstr>
      <vt:lpstr>lohcProd_quantityProduced_tonnes</vt:lpstr>
      <vt:lpstr>lohcProdReportingItems</vt:lpstr>
      <vt:lpstr>'Transport - Conditioning'!Loss_Correction_Method_Options_List</vt:lpstr>
      <vt:lpstr>'Transport - Downstream'!Loss_Correction_Method_Options_List</vt:lpstr>
      <vt:lpstr>Loss_Correction_Method_Options_List</vt:lpstr>
      <vt:lpstr>'Ammonia Cracking'!Mass_Units_Options</vt:lpstr>
      <vt:lpstr>'Hydrogen Liquefaction'!Mass_Units_Options</vt:lpstr>
      <vt:lpstr>'LOHC - Dehydrogenation'!Mass_Units_Options</vt:lpstr>
      <vt:lpstr>'LOHC - Hydrogenation'!Mass_Units_Options</vt:lpstr>
      <vt:lpstr>'Production Summary'!Mass_Units_Options</vt:lpstr>
      <vt:lpstr>'Transport - Conditioning'!Mass_Units_Options</vt:lpstr>
      <vt:lpstr>'Transport - Downstream'!Mass_Units_Options</vt:lpstr>
      <vt:lpstr>'Transport &amp; Storage - Hydrogen'!Mass_Units_Options</vt:lpstr>
      <vt:lpstr>Mass_Units_Options</vt:lpstr>
      <vt:lpstr>number_of_days_in_annual_rates</vt:lpstr>
      <vt:lpstr>overall_CHP_EmissionsElectricity</vt:lpstr>
      <vt:lpstr>overall_CHP_EmissionsSteam</vt:lpstr>
      <vt:lpstr>overall_CHPFuelElecAllocation</vt:lpstr>
      <vt:lpstr>overall_CHPFuelSteamAllocation</vt:lpstr>
      <vt:lpstr>overall_CHPSteamGenerated</vt:lpstr>
      <vt:lpstr>overall_CombustionEmissionsOther</vt:lpstr>
      <vt:lpstr>overall_embodiedCHPElectricity</vt:lpstr>
      <vt:lpstr>overall_embodiedCHPSteam</vt:lpstr>
      <vt:lpstr>overall_embodiedOtherCombustionElectricityGen</vt:lpstr>
      <vt:lpstr>overall_ImportEmissions</vt:lpstr>
      <vt:lpstr>overall_locationBasedImportEmissions</vt:lpstr>
      <vt:lpstr>overall_LocationEF</vt:lpstr>
      <vt:lpstr>overall_MarketEF</vt:lpstr>
      <vt:lpstr>overall_onsiteCHPElecGen</vt:lpstr>
      <vt:lpstr>overall_onsiteElecGenRenewables</vt:lpstr>
      <vt:lpstr>overall_onsiteGenEF</vt:lpstr>
      <vt:lpstr>overall_onsiteOtherCombustionElecGen</vt:lpstr>
      <vt:lpstr>overall_otherOnsiteElecGenViaCombustionFuelAmount</vt:lpstr>
      <vt:lpstr>Overall_Renewables</vt:lpstr>
      <vt:lpstr>overall_residualElectricity</vt:lpstr>
      <vt:lpstr>overall_totalCHPFuel</vt:lpstr>
      <vt:lpstr>overall_totalElectricity</vt:lpstr>
      <vt:lpstr>overall_totalImportedElectricity</vt:lpstr>
      <vt:lpstr>overall_totalOnsiteCombustionElecGen</vt:lpstr>
      <vt:lpstr>overall_totalOnsiteElecGen</vt:lpstr>
      <vt:lpstr>overall_verifiedRenewableElectricityImported</vt:lpstr>
      <vt:lpstr>'Ammonia Cracking'!Primary_Product_Options</vt:lpstr>
      <vt:lpstr>'Electricity Usage'!Primary_Product_Options</vt:lpstr>
      <vt:lpstr>'Hydrogen Liquefaction'!Primary_Product_Options</vt:lpstr>
      <vt:lpstr>'LOHC - Dehydrogenation'!Primary_Product_Options</vt:lpstr>
      <vt:lpstr>'LOHC - Hydrogenation'!Primary_Product_Options</vt:lpstr>
      <vt:lpstr>'Production Summary'!Primary_Product_Options</vt:lpstr>
      <vt:lpstr>'Transport - Conditioning'!Primary_Product_Options</vt:lpstr>
      <vt:lpstr>'Transport - Downstream'!Primary_Product_Options</vt:lpstr>
      <vt:lpstr>'Transport &amp; Storage - Hydrogen'!Primary_Product_Options</vt:lpstr>
      <vt:lpstr>Primary_Product_Options</vt:lpstr>
      <vt:lpstr>'Production Summary'!Print_Area</vt:lpstr>
      <vt:lpstr>production_storage_emissions</vt:lpstr>
      <vt:lpstr>production_transport_and_storage_co_allocation</vt:lpstr>
      <vt:lpstr>production_transport_and_storage_losses</vt:lpstr>
      <vt:lpstr>production_transport_emissions</vt:lpstr>
      <vt:lpstr>reforming_annual_capacity</vt:lpstr>
      <vt:lpstr>reforming_annual_capacity_tonnes</vt:lpstr>
      <vt:lpstr>reforming_BD</vt:lpstr>
      <vt:lpstr>reforming_CCS</vt:lpstr>
      <vt:lpstr>reforming_FD</vt:lpstr>
      <vt:lpstr>reforming_feedstock</vt:lpstr>
      <vt:lpstr>reforming_fuel</vt:lpstr>
      <vt:lpstr>reforming_gridElectricityUsed</vt:lpstr>
      <vt:lpstr>reforming_hydrogenProductionQuantity</vt:lpstr>
      <vt:lpstr>reforming_netEmissionsIntensity</vt:lpstr>
      <vt:lpstr>reforming_OU</vt:lpstr>
      <vt:lpstr>reforming_overall_net_EI</vt:lpstr>
      <vt:lpstr>reforming_process</vt:lpstr>
      <vt:lpstr>reforming_quantity_delivered_kg</vt:lpstr>
      <vt:lpstr>reforming_waste</vt:lpstr>
      <vt:lpstr>ReformingReportingItems</vt:lpstr>
      <vt:lpstr>ReportingItems_AmmoniaConversion</vt:lpstr>
      <vt:lpstr>RPP</vt:lpstr>
      <vt:lpstr>'Transport - Conditioning'!Steam_Properties_Options</vt:lpstr>
      <vt:lpstr>'Transport - Downstream'!Steam_Properties_Options</vt:lpstr>
      <vt:lpstr>Steam_Properties_Options</vt:lpstr>
      <vt:lpstr>total_embodiedEmissionsCombustionBasedElectricity</vt:lpstr>
      <vt:lpstr>total_emissionsCombustionBasedElectricity</vt:lpstr>
      <vt:lpstr>'Transport - Conditioning'!Transport_Emissions_Estimation_Methods_List</vt:lpstr>
      <vt:lpstr>'Transport - Downstream'!Transport_Emissions_Estimation_Methods_List</vt:lpstr>
      <vt:lpstr>Transport_Emissions_Estimation_Methods_List</vt:lpstr>
      <vt:lpstr>'Transport - Conditioning'!Transport_fuel_options_list</vt:lpstr>
      <vt:lpstr>'Transport - Downstream'!Transport_fuel_options_list</vt:lpstr>
      <vt:lpstr>Transport_fuel_options_list</vt:lpstr>
      <vt:lpstr>'Transport - Conditioning'!Transport_Route_Types_List</vt:lpstr>
      <vt:lpstr>'Transport - Downstream'!Transport_Route_Types_List</vt:lpstr>
      <vt:lpstr>Transport_Route_Types_List</vt:lpstr>
      <vt:lpstr>'Transport - Conditioning'!Transport_Vehicle_Types_List</vt:lpstr>
      <vt:lpstr>'Transport - Downstream'!Transport_Vehicle_Types_List</vt:lpstr>
      <vt:lpstr>Transport_Vehicle_Types_List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 Hydrogen Emissions Calculator</dc:title>
  <dc:subject/>
  <dc:creator>Coulahan-Davy, Aidan</dc:creator>
  <cp:keywords/>
  <dc:description/>
  <cp:lastModifiedBy>Coulahan-Davy, Aidan</cp:lastModifiedBy>
  <cp:revision/>
  <dcterms:created xsi:type="dcterms:W3CDTF">2022-02-28T02:37:07Z</dcterms:created>
  <dcterms:modified xsi:type="dcterms:W3CDTF">2023-09-20T00:32:37Z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0x0101009583F020C0D66A408AC5E2F51A8D5F99</vt:lpwstr>
  </property>
  <property fmtid="{D5CDD505-2E9C-101B-9397-08002B2CF9AE}" pid="3" name="_dlc_DocIdItemGuid">
    <vt:lpwstr>25616233-b24f-42a5-94bc-33ea904b8c2f</vt:lpwstr>
  </property>
  <property fmtid="{D5CDD505-2E9C-101B-9397-08002B2CF9AE}" pid="4" name="TaxKeyword">
    <vt:lpwstr/>
  </property>
  <property fmtid="{D5CDD505-2E9C-101B-9397-08002B2CF9AE}" pid="5" name="Discipline">
    <vt:lpwstr/>
  </property>
  <property fmtid="{D5CDD505-2E9C-101B-9397-08002B2CF9AE}" pid="6" name="GHDRegion">
    <vt:lpwstr>3;#Australia|4b5dc0ee-7645-4358-b0c1-3ec636294e6b</vt:lpwstr>
  </property>
  <property fmtid="{D5CDD505-2E9C-101B-9397-08002B2CF9AE}" pid="7" name="ProjectDocumentCategory">
    <vt:lpwstr>7;#(Not Categorised)|f4f9c753-b57a-44c0-a441-0f219a3b091b</vt:lpwstr>
  </property>
  <property fmtid="{D5CDD505-2E9C-101B-9397-08002B2CF9AE}" pid="8" name="GHDOperatingCentre">
    <vt:lpwstr>2;#Victoria|dac0b128-dd9a-4785-991b-62e5de2e885b</vt:lpwstr>
  </property>
  <property fmtid="{D5CDD505-2E9C-101B-9397-08002B2CF9AE}" pid="9" name="Classification">
    <vt:lpwstr>1;#Unclassified|5bcd1335-87be-43aa-9aa8-adc620b22826</vt:lpwstr>
  </property>
  <property fmtid="{D5CDD505-2E9C-101B-9397-08002B2CF9AE}" pid="10" name="ProjectDocumentType">
    <vt:lpwstr/>
  </property>
  <property fmtid="{D5CDD505-2E9C-101B-9397-08002B2CF9AE}" pid="11" name="GHDCountry">
    <vt:lpwstr/>
  </property>
  <property fmtid="{D5CDD505-2E9C-101B-9397-08002B2CF9AE}" pid="12" name="Document Approval">
    <vt:lpwstr>, </vt:lpwstr>
  </property>
  <property fmtid="{D5CDD505-2E9C-101B-9397-08002B2CF9AE}" pid="13" name="MediaServiceImageTags">
    <vt:lpwstr/>
  </property>
  <property fmtid="{D5CDD505-2E9C-101B-9397-08002B2CF9AE}" pid="14" name="CER_Scheme">
    <vt:lpwstr/>
  </property>
  <property fmtid="{D5CDD505-2E9C-101B-9397-08002B2CF9AE}" pid="15" name="CER_Client">
    <vt:lpwstr/>
  </property>
  <property fmtid="{D5CDD505-2E9C-101B-9397-08002B2CF9AE}" pid="16" name="CER_State">
    <vt:lpwstr/>
  </property>
  <property fmtid="{D5CDD505-2E9C-101B-9397-08002B2CF9AE}" pid="17" name="CER_Agency">
    <vt:lpwstr/>
  </property>
  <property fmtid="{D5CDD505-2E9C-101B-9397-08002B2CF9AE}" pid="18" name="CER_FileKeywords">
    <vt:lpwstr/>
  </property>
  <property fmtid="{D5CDD505-2E9C-101B-9397-08002B2CF9AE}" pid="19" name="EDi_DocumentKeywords">
    <vt:lpwstr/>
  </property>
</Properties>
</file>